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bc\ldv\Documents\Лахтионов\6 Квартал\ШКОЛА на 550 мест\монолит\"/>
    </mc:Choice>
  </mc:AlternateContent>
  <xr:revisionPtr revIDLastSave="0" documentId="13_ncr:1_{E5FA19AB-9031-409A-B641-BEAF30A925F2}" xr6:coauthVersionLast="47" xr6:coauthVersionMax="47" xr10:uidLastSave="{00000000-0000-0000-0000-000000000000}"/>
  <bookViews>
    <workbookView xWindow="-120" yWindow="-120" windowWidth="38640" windowHeight="23520" xr2:uid="{00000000-000D-0000-FFFF-FFFF00000000}"/>
  </bookViews>
  <sheets>
    <sheet name="ФП" sheetId="3" r:id="rId1"/>
    <sheet name="Стены подвала" sheetId="4" r:id="rId2"/>
    <sheet name="Перекрытие подвала" sheetId="5" r:id="rId3"/>
    <sheet name="Стены 1 этаж" sheetId="16" r:id="rId4"/>
    <sheet name="Перекрытие 1 этажа" sheetId="17" r:id="rId5"/>
    <sheet name="Стены 2 этаж" sheetId="18" r:id="rId6"/>
    <sheet name="Перекрытие 2 этажа" sheetId="19" r:id="rId7"/>
    <sheet name="Стены 3 этаж" sheetId="20" r:id="rId8"/>
    <sheet name="Перекрытие 3 этажа" sheetId="21" r:id="rId9"/>
    <sheet name="Стены выхода на кровлю" sheetId="22" r:id="rId10"/>
    <sheet name="Плиты выхода на кровлю" sheetId="23" r:id="rId11"/>
    <sheet name="Сборный ЖБ  " sheetId="24" r:id="rId12"/>
    <sheet name="Лестницы" sheetId="13" r:id="rId13"/>
    <sheet name="Лифт" sheetId="15" r:id="rId14"/>
    <sheet name="Лист8" sheetId="11" r:id="rId15"/>
  </sheets>
  <definedNames>
    <definedName name="_xlnm.Print_Area" localSheetId="11">'Сборный ЖБ  '!$A$1:$E$20</definedName>
    <definedName name="_xlnm.Print_Area" localSheetId="0">ФП!$A$1:$H$33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1" l="1"/>
  <c r="E16" i="11"/>
  <c r="E17" i="11"/>
  <c r="E19" i="11"/>
  <c r="G11" i="20"/>
  <c r="G11" i="18"/>
  <c r="E46" i="18"/>
  <c r="E47" i="18"/>
  <c r="E48" i="18"/>
  <c r="E49" i="18"/>
  <c r="D18" i="18"/>
  <c r="E46" i="16"/>
  <c r="D46" i="16"/>
  <c r="D45" i="16"/>
  <c r="D44" i="16"/>
  <c r="E8" i="11"/>
  <c r="E9" i="11"/>
  <c r="E6" i="11"/>
  <c r="E7" i="11"/>
  <c r="E10" i="11"/>
  <c r="E11" i="11"/>
  <c r="E12" i="11"/>
  <c r="E13" i="11"/>
  <c r="E14" i="11"/>
  <c r="E15" i="11"/>
  <c r="E18" i="11"/>
  <c r="E5" i="11"/>
  <c r="D17" i="15"/>
  <c r="D16" i="15"/>
  <c r="D15" i="15"/>
  <c r="D14" i="15"/>
  <c r="D13" i="15"/>
  <c r="D11" i="15"/>
  <c r="D10" i="15"/>
  <c r="T27" i="13"/>
  <c r="T25" i="13"/>
  <c r="T24" i="13"/>
  <c r="T23" i="13"/>
  <c r="U28" i="13"/>
  <c r="T19" i="13"/>
  <c r="G41" i="13"/>
  <c r="G42" i="13"/>
  <c r="K35" i="13"/>
  <c r="K34" i="13"/>
  <c r="K33" i="13"/>
  <c r="I35" i="13"/>
  <c r="I34" i="13"/>
  <c r="I33" i="13"/>
  <c r="H35" i="13"/>
  <c r="H34" i="13"/>
  <c r="H33" i="13"/>
  <c r="S24" i="13"/>
  <c r="S23" i="13"/>
  <c r="S27" i="13"/>
  <c r="S25" i="13"/>
  <c r="S21" i="13"/>
  <c r="R27" i="13"/>
  <c r="R24" i="13"/>
  <c r="R23" i="13"/>
  <c r="R25" i="13"/>
  <c r="R21" i="13"/>
  <c r="Q24" i="13"/>
  <c r="Q27" i="13"/>
  <c r="Q25" i="13"/>
  <c r="Q23" i="13"/>
  <c r="Q21" i="13"/>
  <c r="P27" i="13"/>
  <c r="P24" i="13"/>
  <c r="P23" i="13"/>
  <c r="P21" i="13"/>
  <c r="P25" i="13"/>
  <c r="O27" i="13"/>
  <c r="O25" i="13"/>
  <c r="O24" i="13"/>
  <c r="O23" i="13"/>
  <c r="O21" i="13"/>
  <c r="N25" i="13"/>
  <c r="N24" i="13"/>
  <c r="N23" i="13"/>
  <c r="N21" i="13"/>
  <c r="N27" i="13"/>
  <c r="L35" i="13"/>
  <c r="L34" i="13"/>
  <c r="L33" i="13"/>
  <c r="L32" i="13"/>
  <c r="J35" i="13"/>
  <c r="J34" i="13"/>
  <c r="J33" i="13"/>
  <c r="J32" i="13"/>
  <c r="M27" i="13"/>
  <c r="M25" i="13"/>
  <c r="M24" i="13"/>
  <c r="M23" i="13"/>
  <c r="M22" i="13"/>
  <c r="M20" i="13"/>
  <c r="L27" i="13"/>
  <c r="L25" i="13"/>
  <c r="L24" i="13"/>
  <c r="L23" i="13"/>
  <c r="L22" i="13"/>
  <c r="L20" i="13"/>
  <c r="L19" i="13"/>
  <c r="G43" i="13"/>
  <c r="G40" i="13"/>
  <c r="G39" i="13"/>
  <c r="K25" i="13"/>
  <c r="K22" i="13"/>
  <c r="J25" i="13"/>
  <c r="J23" i="13"/>
  <c r="J27" i="13"/>
  <c r="J21" i="13"/>
  <c r="I27" i="13"/>
  <c r="I25" i="13"/>
  <c r="I24" i="13"/>
  <c r="I23" i="13"/>
  <c r="I21" i="13"/>
  <c r="G25" i="13"/>
  <c r="G24" i="13"/>
  <c r="G23" i="13"/>
  <c r="G21" i="13"/>
  <c r="H27" i="13"/>
  <c r="G27" i="13"/>
  <c r="G19" i="13"/>
  <c r="G35" i="13"/>
  <c r="G34" i="13"/>
  <c r="G33" i="13"/>
  <c r="F35" i="13"/>
  <c r="F34" i="13"/>
  <c r="F33" i="13"/>
  <c r="E35" i="13"/>
  <c r="E34" i="13"/>
  <c r="E33" i="13"/>
  <c r="D35" i="13"/>
  <c r="D34" i="13"/>
  <c r="D33" i="13"/>
  <c r="E32" i="13"/>
  <c r="F25" i="13"/>
  <c r="F24" i="13"/>
  <c r="F23" i="13"/>
  <c r="F22" i="13"/>
  <c r="F21" i="13"/>
  <c r="E25" i="13"/>
  <c r="E24" i="13"/>
  <c r="E23" i="13"/>
  <c r="E22" i="13"/>
  <c r="E21" i="13"/>
  <c r="D25" i="13"/>
  <c r="D24" i="13"/>
  <c r="D23" i="13"/>
  <c r="D22" i="13"/>
  <c r="D21" i="13"/>
  <c r="E19" i="13"/>
  <c r="F27" i="13"/>
  <c r="E27" i="13"/>
  <c r="D27" i="13"/>
  <c r="K14" i="13"/>
  <c r="K12" i="13"/>
  <c r="K11" i="13"/>
  <c r="K10" i="13"/>
  <c r="J14" i="13"/>
  <c r="J12" i="13"/>
  <c r="J11" i="13"/>
  <c r="J10" i="13"/>
  <c r="I14" i="13"/>
  <c r="I12" i="13"/>
  <c r="I13" i="13"/>
  <c r="L13" i="13" s="1"/>
  <c r="I11" i="13"/>
  <c r="I10" i="13"/>
  <c r="H12" i="13"/>
  <c r="G14" i="13"/>
  <c r="G12" i="13"/>
  <c r="G11" i="13"/>
  <c r="G10" i="13"/>
  <c r="F14" i="13"/>
  <c r="F12" i="13"/>
  <c r="F11" i="13"/>
  <c r="F10" i="13"/>
  <c r="D14" i="13"/>
  <c r="E14" i="13"/>
  <c r="E12" i="13"/>
  <c r="E11" i="13"/>
  <c r="E10" i="13"/>
  <c r="L9" i="13"/>
  <c r="D12" i="13"/>
  <c r="D11" i="13"/>
  <c r="D10" i="13"/>
  <c r="L15" i="13"/>
  <c r="L8" i="13"/>
  <c r="M32" i="13" l="1"/>
  <c r="U20" i="13"/>
  <c r="U19" i="13"/>
  <c r="M34" i="13"/>
  <c r="M35" i="13"/>
  <c r="U23" i="13"/>
  <c r="U24" i="13"/>
  <c r="U25" i="13"/>
  <c r="U22" i="13"/>
  <c r="U21" i="13"/>
  <c r="M33" i="13"/>
  <c r="U27" i="13"/>
  <c r="L14" i="13"/>
  <c r="L11" i="13"/>
  <c r="L12" i="13"/>
  <c r="L10" i="13"/>
  <c r="H10" i="23" l="1"/>
  <c r="E13" i="23"/>
  <c r="E12" i="23"/>
  <c r="E11" i="23"/>
  <c r="F11" i="23" s="1"/>
  <c r="E10" i="23"/>
  <c r="D11" i="23"/>
  <c r="D13" i="23"/>
  <c r="D12" i="23"/>
  <c r="D10" i="23"/>
  <c r="F15" i="23"/>
  <c r="F9" i="23"/>
  <c r="F8" i="23"/>
  <c r="D15" i="22"/>
  <c r="D14" i="22"/>
  <c r="D13" i="22"/>
  <c r="D12" i="22"/>
  <c r="D11" i="22"/>
  <c r="D10" i="22"/>
  <c r="D9" i="22"/>
  <c r="D33" i="22"/>
  <c r="D32" i="22"/>
  <c r="D30" i="22"/>
  <c r="D29" i="22"/>
  <c r="D27" i="22"/>
  <c r="D26" i="22"/>
  <c r="D24" i="22"/>
  <c r="D23" i="22"/>
  <c r="D21" i="22"/>
  <c r="D18" i="22" s="1"/>
  <c r="D20" i="22"/>
  <c r="D17" i="22" s="1"/>
  <c r="E16" i="21"/>
  <c r="E15" i="21"/>
  <c r="F15" i="21" s="1"/>
  <c r="E14" i="21"/>
  <c r="E13" i="21"/>
  <c r="E12" i="21"/>
  <c r="E11" i="21"/>
  <c r="E10" i="21"/>
  <c r="F10" i="21" s="1"/>
  <c r="D15" i="21"/>
  <c r="D13" i="21"/>
  <c r="D12" i="21"/>
  <c r="D11" i="21"/>
  <c r="D10" i="21"/>
  <c r="F19" i="21"/>
  <c r="F18" i="21"/>
  <c r="F16" i="21"/>
  <c r="F14" i="21"/>
  <c r="F9" i="21"/>
  <c r="F8" i="21"/>
  <c r="E16" i="20"/>
  <c r="E15" i="20"/>
  <c r="E14" i="20"/>
  <c r="E13" i="20"/>
  <c r="E12" i="20"/>
  <c r="E11" i="20"/>
  <c r="E10" i="20"/>
  <c r="D16" i="20"/>
  <c r="D15" i="20"/>
  <c r="D14" i="20"/>
  <c r="D13" i="20"/>
  <c r="D12" i="20"/>
  <c r="D11" i="20"/>
  <c r="D10" i="20"/>
  <c r="D41" i="20"/>
  <c r="E94" i="20"/>
  <c r="E93" i="20"/>
  <c r="E91" i="20"/>
  <c r="E90" i="20"/>
  <c r="D88" i="20"/>
  <c r="D87" i="20"/>
  <c r="E88" i="20"/>
  <c r="E87" i="20"/>
  <c r="E85" i="20"/>
  <c r="E84" i="20"/>
  <c r="D82" i="20"/>
  <c r="D81" i="20"/>
  <c r="E82" i="20"/>
  <c r="E81" i="20"/>
  <c r="E79" i="20"/>
  <c r="E78" i="20"/>
  <c r="E76" i="20"/>
  <c r="E75" i="20"/>
  <c r="D70" i="20"/>
  <c r="D42" i="20" s="1"/>
  <c r="D69" i="20"/>
  <c r="E69" i="20"/>
  <c r="D67" i="20"/>
  <c r="D66" i="20"/>
  <c r="D40" i="20" s="1"/>
  <c r="E67" i="20"/>
  <c r="E66" i="20"/>
  <c r="E40" i="20" s="1"/>
  <c r="E64" i="20"/>
  <c r="E63" i="20"/>
  <c r="E61" i="20"/>
  <c r="E60" i="20"/>
  <c r="D58" i="20"/>
  <c r="D57" i="20"/>
  <c r="E58" i="20"/>
  <c r="E57" i="20"/>
  <c r="E55" i="20"/>
  <c r="E54" i="20"/>
  <c r="D52" i="20"/>
  <c r="D43" i="20" s="1"/>
  <c r="D51" i="20"/>
  <c r="E52" i="20"/>
  <c r="E43" i="20" s="1"/>
  <c r="E51" i="20"/>
  <c r="E49" i="20"/>
  <c r="E48" i="20"/>
  <c r="E46" i="20"/>
  <c r="E45" i="20"/>
  <c r="E41" i="20" s="1"/>
  <c r="D18" i="20"/>
  <c r="D20" i="20"/>
  <c r="D22" i="20"/>
  <c r="E38" i="20"/>
  <c r="E20" i="20" s="1"/>
  <c r="E37" i="20"/>
  <c r="E18" i="20" s="1"/>
  <c r="E35" i="20"/>
  <c r="E22" i="20" s="1"/>
  <c r="E34" i="20"/>
  <c r="E33" i="20"/>
  <c r="E31" i="20"/>
  <c r="E30" i="20"/>
  <c r="D28" i="20"/>
  <c r="D21" i="20" s="1"/>
  <c r="D27" i="20"/>
  <c r="D19" i="20" s="1"/>
  <c r="E28" i="20"/>
  <c r="E27" i="20"/>
  <c r="E25" i="20"/>
  <c r="E24" i="20"/>
  <c r="E17" i="18"/>
  <c r="E18" i="18"/>
  <c r="E19" i="18"/>
  <c r="E20" i="18"/>
  <c r="E21" i="18"/>
  <c r="D21" i="18"/>
  <c r="F21" i="18" s="1"/>
  <c r="D20" i="18"/>
  <c r="D19" i="18"/>
  <c r="D17" i="18"/>
  <c r="F97" i="20"/>
  <c r="F96" i="20"/>
  <c r="D76" i="20"/>
  <c r="D75" i="20"/>
  <c r="E73" i="20"/>
  <c r="E72" i="20"/>
  <c r="E70" i="20"/>
  <c r="E42" i="20" s="1"/>
  <c r="F9" i="20"/>
  <c r="F8" i="20"/>
  <c r="H8" i="19"/>
  <c r="E16" i="19"/>
  <c r="F16" i="19" s="1"/>
  <c r="E15" i="19"/>
  <c r="F15" i="19" s="1"/>
  <c r="E14" i="19"/>
  <c r="F14" i="19" s="1"/>
  <c r="E13" i="19"/>
  <c r="E12" i="19"/>
  <c r="E11" i="19"/>
  <c r="E10" i="19"/>
  <c r="F10" i="19" s="1"/>
  <c r="D15" i="19"/>
  <c r="D13" i="19"/>
  <c r="D12" i="19"/>
  <c r="D11" i="19"/>
  <c r="F19" i="19"/>
  <c r="F18" i="19"/>
  <c r="F11" i="19"/>
  <c r="F9" i="19"/>
  <c r="F8" i="19"/>
  <c r="E10" i="18"/>
  <c r="E11" i="18"/>
  <c r="E12" i="18"/>
  <c r="F12" i="18" s="1"/>
  <c r="E13" i="18"/>
  <c r="E14" i="18"/>
  <c r="E15" i="18"/>
  <c r="D10" i="18"/>
  <c r="D11" i="18"/>
  <c r="D12" i="18"/>
  <c r="D13" i="18"/>
  <c r="D14" i="18"/>
  <c r="D48" i="18"/>
  <c r="D47" i="18"/>
  <c r="E127" i="18"/>
  <c r="E126" i="18"/>
  <c r="E124" i="18"/>
  <c r="E123" i="18"/>
  <c r="E121" i="18"/>
  <c r="E120" i="18"/>
  <c r="D118" i="18"/>
  <c r="D117" i="18"/>
  <c r="E115" i="18"/>
  <c r="E114" i="18"/>
  <c r="D112" i="18"/>
  <c r="D111" i="18"/>
  <c r="E112" i="18"/>
  <c r="E111" i="18"/>
  <c r="E109" i="18"/>
  <c r="E108" i="18"/>
  <c r="E106" i="18"/>
  <c r="E105" i="18"/>
  <c r="E103" i="18"/>
  <c r="E102" i="18"/>
  <c r="E100" i="18"/>
  <c r="E99" i="18"/>
  <c r="E97" i="18"/>
  <c r="E96" i="18"/>
  <c r="E94" i="18"/>
  <c r="E93" i="18"/>
  <c r="D94" i="18"/>
  <c r="D93" i="18"/>
  <c r="E91" i="18"/>
  <c r="E90" i="18"/>
  <c r="E88" i="18"/>
  <c r="E87" i="18"/>
  <c r="D85" i="18"/>
  <c r="D84" i="18"/>
  <c r="E85" i="18"/>
  <c r="E84" i="18"/>
  <c r="E82" i="18"/>
  <c r="E81" i="18"/>
  <c r="E79" i="18"/>
  <c r="E78" i="18"/>
  <c r="D76" i="18"/>
  <c r="D75" i="18"/>
  <c r="E76" i="18"/>
  <c r="E75" i="18"/>
  <c r="E67" i="18"/>
  <c r="E66" i="18"/>
  <c r="D69" i="18"/>
  <c r="D64" i="18"/>
  <c r="D49" i="18" s="1"/>
  <c r="D63" i="18"/>
  <c r="D46" i="18" s="1"/>
  <c r="E64" i="18"/>
  <c r="E63" i="18"/>
  <c r="E61" i="18"/>
  <c r="E60" i="18"/>
  <c r="D58" i="18"/>
  <c r="D57" i="18"/>
  <c r="E58" i="18"/>
  <c r="E57" i="18"/>
  <c r="D55" i="18"/>
  <c r="D54" i="18"/>
  <c r="E55" i="18"/>
  <c r="E54" i="18"/>
  <c r="E44" i="18"/>
  <c r="E43" i="18"/>
  <c r="E41" i="18"/>
  <c r="E40" i="18"/>
  <c r="E38" i="18"/>
  <c r="E37" i="18"/>
  <c r="E36" i="18"/>
  <c r="E34" i="18"/>
  <c r="E33" i="18"/>
  <c r="E32" i="18"/>
  <c r="D30" i="18"/>
  <c r="D29" i="18"/>
  <c r="E30" i="18"/>
  <c r="E29" i="18"/>
  <c r="E27" i="18"/>
  <c r="E26" i="18"/>
  <c r="E24" i="18"/>
  <c r="E23" i="18"/>
  <c r="F9" i="16"/>
  <c r="F9" i="18"/>
  <c r="F130" i="18"/>
  <c r="F129" i="18"/>
  <c r="E73" i="18"/>
  <c r="E72" i="18"/>
  <c r="E70" i="18"/>
  <c r="D70" i="18"/>
  <c r="E69" i="18"/>
  <c r="E52" i="18"/>
  <c r="E51" i="18"/>
  <c r="F8" i="18"/>
  <c r="H10" i="17"/>
  <c r="F9" i="17"/>
  <c r="E15" i="17"/>
  <c r="E14" i="17"/>
  <c r="E13" i="17"/>
  <c r="E12" i="17"/>
  <c r="E11" i="17"/>
  <c r="E10" i="17"/>
  <c r="D15" i="17"/>
  <c r="D13" i="17"/>
  <c r="F13" i="17" s="1"/>
  <c r="D12" i="17"/>
  <c r="F12" i="17" s="1"/>
  <c r="H9" i="5"/>
  <c r="H8" i="5"/>
  <c r="D11" i="17"/>
  <c r="D10" i="17"/>
  <c r="F18" i="17"/>
  <c r="F17" i="17"/>
  <c r="F14" i="17"/>
  <c r="F8" i="17"/>
  <c r="E16" i="16"/>
  <c r="E15" i="16"/>
  <c r="E14" i="16"/>
  <c r="E13" i="16"/>
  <c r="E12" i="16"/>
  <c r="E11" i="16"/>
  <c r="E10" i="16"/>
  <c r="D16" i="16"/>
  <c r="D15" i="16"/>
  <c r="D14" i="16"/>
  <c r="D13" i="16"/>
  <c r="D12" i="16"/>
  <c r="D11" i="16"/>
  <c r="D10" i="16"/>
  <c r="E106" i="16"/>
  <c r="E105" i="16"/>
  <c r="D103" i="16"/>
  <c r="D102" i="16"/>
  <c r="E103" i="16"/>
  <c r="E102" i="16"/>
  <c r="D100" i="16"/>
  <c r="D99" i="16"/>
  <c r="E100" i="16"/>
  <c r="E99" i="16"/>
  <c r="D97" i="16"/>
  <c r="D96" i="16"/>
  <c r="E97" i="16"/>
  <c r="E96" i="16"/>
  <c r="E93" i="16"/>
  <c r="E94" i="16"/>
  <c r="E91" i="16"/>
  <c r="E90" i="16"/>
  <c r="E88" i="16"/>
  <c r="E87" i="16"/>
  <c r="E85" i="16"/>
  <c r="E84" i="16"/>
  <c r="E82" i="16"/>
  <c r="E81" i="16"/>
  <c r="D82" i="16"/>
  <c r="D81" i="16"/>
  <c r="E79" i="16"/>
  <c r="E78" i="16"/>
  <c r="D79" i="16"/>
  <c r="D78" i="16"/>
  <c r="D76" i="16"/>
  <c r="D75" i="16"/>
  <c r="E76" i="16"/>
  <c r="E75" i="16"/>
  <c r="E73" i="16"/>
  <c r="E72" i="16"/>
  <c r="E70" i="16"/>
  <c r="E45" i="16" s="1"/>
  <c r="E69" i="16"/>
  <c r="D70" i="16"/>
  <c r="D69" i="16"/>
  <c r="D67" i="16"/>
  <c r="D66" i="16"/>
  <c r="E64" i="16"/>
  <c r="E63" i="16"/>
  <c r="E61" i="16"/>
  <c r="E60" i="16"/>
  <c r="E43" i="16" s="1"/>
  <c r="E58" i="16"/>
  <c r="E57" i="16"/>
  <c r="D58" i="16"/>
  <c r="D57" i="16"/>
  <c r="E55" i="16"/>
  <c r="E54" i="16"/>
  <c r="D55" i="16"/>
  <c r="D54" i="16"/>
  <c r="E52" i="16"/>
  <c r="E51" i="16"/>
  <c r="E49" i="16"/>
  <c r="E48" i="16"/>
  <c r="D22" i="16"/>
  <c r="D20" i="16"/>
  <c r="D18" i="16"/>
  <c r="E41" i="16"/>
  <c r="E40" i="16"/>
  <c r="E38" i="16"/>
  <c r="E37" i="16"/>
  <c r="E35" i="16"/>
  <c r="E22" i="16" s="1"/>
  <c r="E34" i="16"/>
  <c r="E33" i="16"/>
  <c r="E31" i="16"/>
  <c r="E30" i="16"/>
  <c r="E28" i="16"/>
  <c r="E27" i="16"/>
  <c r="D28" i="16"/>
  <c r="D27" i="16"/>
  <c r="E25" i="16"/>
  <c r="E24" i="16"/>
  <c r="D25" i="16"/>
  <c r="D24" i="16"/>
  <c r="D19" i="16" s="1"/>
  <c r="F109" i="16"/>
  <c r="F108" i="16"/>
  <c r="F8" i="16"/>
  <c r="E34" i="5"/>
  <c r="F34" i="5" s="1"/>
  <c r="E30" i="5"/>
  <c r="E29" i="5"/>
  <c r="F29" i="5" s="1"/>
  <c r="E28" i="5"/>
  <c r="F28" i="5" s="1"/>
  <c r="E26" i="5"/>
  <c r="F26" i="5" s="1"/>
  <c r="F25" i="5"/>
  <c r="F27" i="5"/>
  <c r="F30" i="5"/>
  <c r="F32" i="5"/>
  <c r="F33" i="5"/>
  <c r="E23" i="5"/>
  <c r="F23" i="5" s="1"/>
  <c r="E22" i="5"/>
  <c r="F22" i="5" s="1"/>
  <c r="E21" i="5"/>
  <c r="F21" i="5" s="1"/>
  <c r="E20" i="5"/>
  <c r="F20" i="5" s="1"/>
  <c r="E19" i="5"/>
  <c r="F19" i="5" s="1"/>
  <c r="F18" i="5"/>
  <c r="E16" i="5"/>
  <c r="E15" i="5"/>
  <c r="E14" i="5"/>
  <c r="E13" i="5"/>
  <c r="E12" i="5"/>
  <c r="E9" i="5"/>
  <c r="F9" i="5" s="1"/>
  <c r="E11" i="5"/>
  <c r="D11" i="5"/>
  <c r="D16" i="5"/>
  <c r="D15" i="5"/>
  <c r="D13" i="5"/>
  <c r="D12" i="5"/>
  <c r="D10" i="5"/>
  <c r="F10" i="5" s="1"/>
  <c r="F8" i="5"/>
  <c r="E29" i="4"/>
  <c r="E19" i="4" s="1"/>
  <c r="F19" i="4" s="1"/>
  <c r="E28" i="4"/>
  <c r="D19" i="4"/>
  <c r="D18" i="4"/>
  <c r="D12" i="4"/>
  <c r="E117" i="4"/>
  <c r="D117" i="4"/>
  <c r="E13" i="4"/>
  <c r="E12" i="4"/>
  <c r="E11" i="4"/>
  <c r="D11" i="4"/>
  <c r="E9" i="4"/>
  <c r="E10" i="4"/>
  <c r="F115" i="4"/>
  <c r="E112" i="4"/>
  <c r="E111" i="4"/>
  <c r="E109" i="4"/>
  <c r="E108" i="4"/>
  <c r="E106" i="4"/>
  <c r="E105" i="4"/>
  <c r="E103" i="4"/>
  <c r="E102" i="4"/>
  <c r="E100" i="4"/>
  <c r="E99" i="4"/>
  <c r="E97" i="4"/>
  <c r="E96" i="4"/>
  <c r="E94" i="4"/>
  <c r="E93" i="4"/>
  <c r="E82" i="4"/>
  <c r="E81" i="4"/>
  <c r="E79" i="4"/>
  <c r="E78" i="4"/>
  <c r="E76" i="4"/>
  <c r="E75" i="4"/>
  <c r="E91" i="4"/>
  <c r="E36" i="4" s="1"/>
  <c r="E90" i="4"/>
  <c r="D88" i="4"/>
  <c r="D36" i="4" s="1"/>
  <c r="D87" i="4"/>
  <c r="D34" i="4" s="1"/>
  <c r="E85" i="4"/>
  <c r="E84" i="4"/>
  <c r="E73" i="4"/>
  <c r="E72" i="4"/>
  <c r="E70" i="4"/>
  <c r="E69" i="4"/>
  <c r="E67" i="4"/>
  <c r="E66" i="4"/>
  <c r="E64" i="4"/>
  <c r="E63" i="4"/>
  <c r="E61" i="4"/>
  <c r="E60" i="4"/>
  <c r="D58" i="4"/>
  <c r="D57" i="4"/>
  <c r="E55" i="4"/>
  <c r="E54" i="4"/>
  <c r="D52" i="4"/>
  <c r="D51" i="4"/>
  <c r="D49" i="4"/>
  <c r="D48" i="4"/>
  <c r="D46" i="4"/>
  <c r="D45" i="4"/>
  <c r="E43" i="4"/>
  <c r="E42" i="4"/>
  <c r="E40" i="4"/>
  <c r="E39" i="4"/>
  <c r="D17" i="4"/>
  <c r="D15" i="4"/>
  <c r="E32" i="4"/>
  <c r="E17" i="4" s="1"/>
  <c r="F17" i="4" s="1"/>
  <c r="E31" i="4"/>
  <c r="E15" i="4" s="1"/>
  <c r="E27" i="4"/>
  <c r="E25" i="4"/>
  <c r="E24" i="4"/>
  <c r="D22" i="4"/>
  <c r="D21" i="4"/>
  <c r="D16" i="4" s="1"/>
  <c r="F13" i="23" l="1"/>
  <c r="F12" i="23"/>
  <c r="F10" i="23"/>
  <c r="H8" i="23" s="1"/>
  <c r="E10" i="22"/>
  <c r="F13" i="21"/>
  <c r="H8" i="21" s="1"/>
  <c r="H10" i="21" s="1"/>
  <c r="F12" i="21"/>
  <c r="F11" i="21"/>
  <c r="F14" i="20"/>
  <c r="F16" i="20"/>
  <c r="F42" i="20"/>
  <c r="F12" i="20"/>
  <c r="F15" i="20"/>
  <c r="E19" i="20"/>
  <c r="F19" i="20" s="1"/>
  <c r="E21" i="20"/>
  <c r="F18" i="20"/>
  <c r="F22" i="20"/>
  <c r="F20" i="20"/>
  <c r="F21" i="20"/>
  <c r="F10" i="20"/>
  <c r="F11" i="20"/>
  <c r="F13" i="20"/>
  <c r="F41" i="20"/>
  <c r="F43" i="20"/>
  <c r="F19" i="18"/>
  <c r="F13" i="19"/>
  <c r="F12" i="19"/>
  <c r="F11" i="18"/>
  <c r="F10" i="18"/>
  <c r="F13" i="18"/>
  <c r="F48" i="18"/>
  <c r="F14" i="18"/>
  <c r="F15" i="18"/>
  <c r="F47" i="18"/>
  <c r="F17" i="18"/>
  <c r="F18" i="18"/>
  <c r="F20" i="18"/>
  <c r="F15" i="17"/>
  <c r="F11" i="17"/>
  <c r="F10" i="17"/>
  <c r="H8" i="17" s="1"/>
  <c r="F15" i="16"/>
  <c r="F14" i="16"/>
  <c r="F13" i="16"/>
  <c r="F10" i="16"/>
  <c r="F16" i="16"/>
  <c r="F12" i="16"/>
  <c r="E44" i="16"/>
  <c r="D43" i="16"/>
  <c r="F43" i="16" s="1"/>
  <c r="F44" i="16"/>
  <c r="F11" i="16"/>
  <c r="E20" i="16"/>
  <c r="F20" i="16" s="1"/>
  <c r="E19" i="16"/>
  <c r="D21" i="16"/>
  <c r="F21" i="16" s="1"/>
  <c r="E21" i="16"/>
  <c r="E18" i="16"/>
  <c r="F22" i="16"/>
  <c r="F19" i="16"/>
  <c r="F45" i="16"/>
  <c r="F18" i="16"/>
  <c r="F16" i="5"/>
  <c r="F13" i="5"/>
  <c r="F12" i="5"/>
  <c r="F11" i="5"/>
  <c r="F15" i="5"/>
  <c r="F14" i="5"/>
  <c r="E16" i="4"/>
  <c r="F16" i="4" s="1"/>
  <c r="E34" i="4"/>
  <c r="F34" i="4" s="1"/>
  <c r="E18" i="4"/>
  <c r="F18" i="4" s="1"/>
  <c r="G9" i="4" s="1"/>
  <c r="F117" i="4"/>
  <c r="D35" i="4"/>
  <c r="F36" i="4"/>
  <c r="D37" i="4"/>
  <c r="E35" i="4"/>
  <c r="E37" i="4"/>
  <c r="F15" i="4"/>
  <c r="E9" i="22" l="1"/>
  <c r="F40" i="20"/>
  <c r="G8" i="20" s="1"/>
  <c r="H10" i="19"/>
  <c r="F46" i="18"/>
  <c r="F49" i="18"/>
  <c r="G8" i="18"/>
  <c r="F46" i="16"/>
  <c r="G11" i="16" s="1"/>
  <c r="G8" i="16" s="1"/>
  <c r="F35" i="4"/>
  <c r="F37" i="4"/>
  <c r="F114" i="4" l="1"/>
  <c r="F8" i="4"/>
  <c r="E13" i="3"/>
  <c r="E14" i="3"/>
  <c r="E15" i="3"/>
  <c r="D14" i="3"/>
  <c r="D15" i="3"/>
  <c r="E16" i="3"/>
  <c r="D13" i="3"/>
  <c r="E17" i="3"/>
  <c r="E9" i="3"/>
  <c r="A13" i="3"/>
  <c r="A14" i="3" s="1"/>
  <c r="A15" i="3" s="1"/>
  <c r="A16" i="3" s="1"/>
  <c r="A17" i="3" s="1"/>
  <c r="D17" i="3"/>
  <c r="D16" i="3"/>
  <c r="D9" i="3"/>
  <c r="F19" i="3"/>
  <c r="F10" i="3"/>
  <c r="F12" i="3"/>
  <c r="F7" i="3"/>
  <c r="F11" i="4" l="1"/>
  <c r="F10" i="4"/>
  <c r="F13" i="4"/>
  <c r="F9" i="4"/>
  <c r="F12" i="4"/>
  <c r="E18" i="3"/>
  <c r="D18" i="3"/>
  <c r="F18" i="3" s="1"/>
  <c r="F13" i="3"/>
  <c r="F17" i="3"/>
  <c r="F15" i="3"/>
  <c r="F9" i="3"/>
  <c r="F14" i="3"/>
  <c r="F16" i="3"/>
  <c r="G8" i="4" l="1"/>
  <c r="D20" i="11" l="1"/>
  <c r="E20" i="11" s="1"/>
</calcChain>
</file>

<file path=xl/sharedStrings.xml><?xml version="1.0" encoding="utf-8"?>
<sst xmlns="http://schemas.openxmlformats.org/spreadsheetml/2006/main" count="1315" uniqueCount="270">
  <si>
    <t>м3</t>
  </si>
  <si>
    <t>м2</t>
  </si>
  <si>
    <t>№п/п</t>
  </si>
  <si>
    <t>Наименование материала</t>
  </si>
  <si>
    <t>Ед. изм.</t>
  </si>
  <si>
    <t>Количество</t>
  </si>
  <si>
    <t>м.п</t>
  </si>
  <si>
    <t>тн</t>
  </si>
  <si>
    <t>Подбетонка</t>
  </si>
  <si>
    <t>Устройство подбетонки  из бетона кл. В15 δ=100мм</t>
  </si>
  <si>
    <t>Примечание</t>
  </si>
  <si>
    <t>Итого по арматуре:</t>
  </si>
  <si>
    <t>Митрофанова Е.Е.</t>
  </si>
  <si>
    <t>Предусмотреть устройство гидрошпонки в рабочих швах ФП</t>
  </si>
  <si>
    <t>№ п/п</t>
  </si>
  <si>
    <t>Наименование работ и материалов</t>
  </si>
  <si>
    <t>Кол-во</t>
  </si>
  <si>
    <t>Арматура Ø16 A500С</t>
  </si>
  <si>
    <t>Арматура Ø10 A500С</t>
  </si>
  <si>
    <t>Арматура Ø8 A500С</t>
  </si>
  <si>
    <t>Арматура Ø12 A500С</t>
  </si>
  <si>
    <t>Арматура Ø6 A240С</t>
  </si>
  <si>
    <t>Арматура Ø20 A500С</t>
  </si>
  <si>
    <t>Арматура Ø8 A240С</t>
  </si>
  <si>
    <t>Бетон В25, W4, F75</t>
  </si>
  <si>
    <t>Арматура Ø28 A500С</t>
  </si>
  <si>
    <t>Арматура Ø25 A500С</t>
  </si>
  <si>
    <t>наименование</t>
  </si>
  <si>
    <t>арматура, т</t>
  </si>
  <si>
    <t>коэф.армкг/м3</t>
  </si>
  <si>
    <t>фундамент</t>
  </si>
  <si>
    <t>стены подвала</t>
  </si>
  <si>
    <t>п/п подвал</t>
  </si>
  <si>
    <t>1 эт стены</t>
  </si>
  <si>
    <t>п/п 1 эт</t>
  </si>
  <si>
    <t>2 эт стены</t>
  </si>
  <si>
    <t>п/п 2 эт</t>
  </si>
  <si>
    <t>3 эт стены</t>
  </si>
  <si>
    <t>п/п 3 эт</t>
  </si>
  <si>
    <t>бетон В25, м3</t>
  </si>
  <si>
    <t>Итого:</t>
  </si>
  <si>
    <t>шт</t>
  </si>
  <si>
    <t>Арматура Ø20 A240С</t>
  </si>
  <si>
    <t>среднезернистый песок с уплотнением</t>
  </si>
  <si>
    <t>Фундаментная плита в/о 1-11/А-И</t>
  </si>
  <si>
    <t>Бетон В25, W8, F150</t>
  </si>
  <si>
    <t>Пенополистерол (деф.шов)</t>
  </si>
  <si>
    <t>по адресу: Санкт-Петербург, внутригородское муниципальное образование поселок Шушары, территория Пулковское, Кокколевская улица, участок 18</t>
  </si>
  <si>
    <t>Школа на 550 мест</t>
  </si>
  <si>
    <t>Общеобразовательная школа на 550 мест</t>
  </si>
  <si>
    <t>Ш-550-Р-КЖ0</t>
  </si>
  <si>
    <t>Щебеночное основание</t>
  </si>
  <si>
    <t>Блок 1</t>
  </si>
  <si>
    <t>Блок 2</t>
  </si>
  <si>
    <t>Устройство подготовки из ПГС/песка среднего по ГОСТ 8736-2012 (Купл=0,98)/щебня фр.20-40 δ=300мм</t>
  </si>
  <si>
    <t>Пленка полиэтиленовая 200мкм, 2 слоя</t>
  </si>
  <si>
    <t>Устройство фундаментной плиты  Бетон В30, W8, F150 δ=500мм</t>
  </si>
  <si>
    <t>Гидрошпонка Аквастоа ХВН-120</t>
  </si>
  <si>
    <r>
      <t xml:space="preserve">Арматура </t>
    </r>
    <r>
      <rPr>
        <sz val="11"/>
        <rFont val="Aptos Narrow"/>
        <charset val="204"/>
      </rPr>
      <t>Ø</t>
    </r>
    <r>
      <rPr>
        <sz val="11"/>
        <rFont val="Times New Roman"/>
        <family val="1"/>
        <charset val="204"/>
      </rPr>
      <t>16 А500С</t>
    </r>
  </si>
  <si>
    <t>Арматура Ø12 А500С</t>
  </si>
  <si>
    <t>Арматура Ø10 А500С</t>
  </si>
  <si>
    <t>Арматура Ø8 А500С</t>
  </si>
  <si>
    <r>
      <t xml:space="preserve">Арматура </t>
    </r>
    <r>
      <rPr>
        <sz val="11"/>
        <rFont val="Aptos Narrow"/>
        <charset val="204"/>
      </rPr>
      <t>Ø</t>
    </r>
    <r>
      <rPr>
        <sz val="11"/>
        <rFont val="Times New Roman"/>
        <family val="1"/>
        <charset val="204"/>
      </rPr>
      <t>20 А500С</t>
    </r>
  </si>
  <si>
    <t>Арматура дана с учетом перехлеста арматуры для Ø12-4,7%, Ø16-6,3%, Ø20-7,8%. Без %% на раскрой
Выпуска учтены</t>
  </si>
  <si>
    <t>Выполнено в соответствии с проектом ООО "АКБ СТРОЦЭКСПЕРТ" шифр Ш-550-Р-КЖ0</t>
  </si>
  <si>
    <t>Монолитные стены и колонны подвала</t>
  </si>
  <si>
    <t>Бетон В30, W8, F150</t>
  </si>
  <si>
    <t>Каркасы пространственные</t>
  </si>
  <si>
    <t>Устройство каркасов: Арматура Ø16 A500С ИТОГО:</t>
  </si>
  <si>
    <t>Устройство каркасов: Арматура Ø12 A500С ИТОГО:</t>
  </si>
  <si>
    <t>Устройство каркасов: Арматура Ø8 A500С ИТОГО:</t>
  </si>
  <si>
    <t>Устройство каркасов: Арматура Ø10 A500С ИТОГО:</t>
  </si>
  <si>
    <t>К16-40х40.199.8.в</t>
  </si>
  <si>
    <t>К16-40х40.342.8.в</t>
  </si>
  <si>
    <t>К16-40х60.342.8.в</t>
  </si>
  <si>
    <t>К16-40х80.342.12.в</t>
  </si>
  <si>
    <t>Устройство каркасов: Арматура Ø20 A500С ИТОГО:</t>
  </si>
  <si>
    <t>Каркасы плоские стеновые и перемычки</t>
  </si>
  <si>
    <t>С12-16.342</t>
  </si>
  <si>
    <t>С12-16.342.в</t>
  </si>
  <si>
    <t>С12-20.172</t>
  </si>
  <si>
    <t>С12-20.199</t>
  </si>
  <si>
    <t>С12-20.199.в</t>
  </si>
  <si>
    <t>С12-20.250</t>
  </si>
  <si>
    <t>С12-20.286</t>
  </si>
  <si>
    <t>С12-20.315</t>
  </si>
  <si>
    <t>С12-20.342</t>
  </si>
  <si>
    <t>С12-20.342.в</t>
  </si>
  <si>
    <t>С12-20.429</t>
  </si>
  <si>
    <t>С12-20.449</t>
  </si>
  <si>
    <t>С16-20.342.в</t>
  </si>
  <si>
    <t>С16-40.199.в</t>
  </si>
  <si>
    <t>С16-40.342.в</t>
  </si>
  <si>
    <t>С12-30.230</t>
  </si>
  <si>
    <t>С12-30.279</t>
  </si>
  <si>
    <t>С12-30.355</t>
  </si>
  <si>
    <t>Пв12-20.117</t>
  </si>
  <si>
    <t>Пв12-20.117.в</t>
  </si>
  <si>
    <t>Пв12-20.127</t>
  </si>
  <si>
    <t>Пн12-20.80</t>
  </si>
  <si>
    <t>Пн12-20.110</t>
  </si>
  <si>
    <t>Пн12-20.127</t>
  </si>
  <si>
    <t>Мин.плита</t>
  </si>
  <si>
    <t>Утепление/перфорация</t>
  </si>
  <si>
    <t>Молниезащита (на -1, 1, 2, 3,4 этажах)</t>
  </si>
  <si>
    <t>Устройство каркасов: Арматура Ø8 A240С ИТОГО:</t>
  </si>
  <si>
    <t>Плита перекрытия на отм. -0,180</t>
  </si>
  <si>
    <t>Труба 108х2 С235 L=200</t>
  </si>
  <si>
    <t>Бассейн большой</t>
  </si>
  <si>
    <t xml:space="preserve">Гидрошпонка </t>
  </si>
  <si>
    <t>Бассейн малый</t>
  </si>
  <si>
    <t>Гидро-/тепло-изоляция</t>
  </si>
  <si>
    <t>ЭППС</t>
  </si>
  <si>
    <t>Изопласт 2 слоя</t>
  </si>
  <si>
    <t>Учтен нахлест для погонажной арматуры д.8 - 3,9%; д.12 - 5,3%</t>
  </si>
  <si>
    <t>Ш-550-Р-КЖ1</t>
  </si>
  <si>
    <t>Монолитные стены и колонны 1 этажа</t>
  </si>
  <si>
    <t>К16-40х40.400.8</t>
  </si>
  <si>
    <t>К16-40х40.400.8.в</t>
  </si>
  <si>
    <t>К16-40х40.427.8.в</t>
  </si>
  <si>
    <t>К16-40х60.400.8.в</t>
  </si>
  <si>
    <t>К16-50х80.400.12.в</t>
  </si>
  <si>
    <t>К16-50х80.427.12.в</t>
  </si>
  <si>
    <t>С12-16.400.в</t>
  </si>
  <si>
    <t>С12-20.317</t>
  </si>
  <si>
    <t>С12-20.400</t>
  </si>
  <si>
    <t>С12-20.400.в</t>
  </si>
  <si>
    <t>С16-20.317.в</t>
  </si>
  <si>
    <t>С16-20.400.в</t>
  </si>
  <si>
    <t>С16-40.400</t>
  </si>
  <si>
    <t>С16-40.400.в</t>
  </si>
  <si>
    <t>Пв12-16.180</t>
  </si>
  <si>
    <t>Пв12-20.50.в</t>
  </si>
  <si>
    <t>Пв12-20.132</t>
  </si>
  <si>
    <t>Пв12-20.132.в</t>
  </si>
  <si>
    <t>Пв12-20.150.в</t>
  </si>
  <si>
    <t>Пв12-20.159</t>
  </si>
  <si>
    <t>Пв12-20.162</t>
  </si>
  <si>
    <t>Пв12-20.162.в</t>
  </si>
  <si>
    <t>Пв12-20.172</t>
  </si>
  <si>
    <t>Пв12-20.172.в</t>
  </si>
  <si>
    <t>Пн12-20.111</t>
  </si>
  <si>
    <t>Пн12-20.217</t>
  </si>
  <si>
    <t>Выполнено в соответствии с проектом ООО "АКБ СТРОЦЭКСПЕРТ" шифр Ш-550-Р-КЖ1</t>
  </si>
  <si>
    <t>Плита 1 этажа на отм. +3,820</t>
  </si>
  <si>
    <t>К16-40х40.248.8</t>
  </si>
  <si>
    <t>К16-40х40.390.8</t>
  </si>
  <si>
    <t>К16-40х40.390.8.в</t>
  </si>
  <si>
    <t>К16-40х60.390.8</t>
  </si>
  <si>
    <t>К16-40х60.390.8.в</t>
  </si>
  <si>
    <t>К16-50х80.248.12</t>
  </si>
  <si>
    <t>К16-50х80.390.12.в</t>
  </si>
  <si>
    <t>С12-20.390</t>
  </si>
  <si>
    <t>С16-20.390</t>
  </si>
  <si>
    <t>С16-20.473</t>
  </si>
  <si>
    <t>Пв12-20.66.в</t>
  </si>
  <si>
    <t>Пв12-20.97.в</t>
  </si>
  <si>
    <t>Пв12-20.154</t>
  </si>
  <si>
    <t>Пв12-20.179</t>
  </si>
  <si>
    <t>Пв12-20.182.в</t>
  </si>
  <si>
    <t>Пн12-20.57</t>
  </si>
  <si>
    <t>Пн12-20.78</t>
  </si>
  <si>
    <t>Пн12-20.101</t>
  </si>
  <si>
    <t>Пн12-20.106</t>
  </si>
  <si>
    <t>Пн12-20.118</t>
  </si>
  <si>
    <t>Пн12-20.120</t>
  </si>
  <si>
    <t>Пн12-20.121</t>
  </si>
  <si>
    <t>Пн12-20.331</t>
  </si>
  <si>
    <t>Бетон В25, W4, F150 парапеты</t>
  </si>
  <si>
    <t>Бетон В25, W4, F150 парапеты Блок 1</t>
  </si>
  <si>
    <t>Бетон В25, W4, F150 парапеты Блок 2</t>
  </si>
  <si>
    <t>Плита 2 этажа на отм. +7,720</t>
  </si>
  <si>
    <t>Монолитные стены и колонны 2 этажа</t>
  </si>
  <si>
    <t>Монолитные стены и колонны 3 этажа</t>
  </si>
  <si>
    <t>К16-40х40.290.8</t>
  </si>
  <si>
    <t>К16-40х60.290.8</t>
  </si>
  <si>
    <t>К20-50х80.290.12</t>
  </si>
  <si>
    <t>С12-16.390</t>
  </si>
  <si>
    <t>С12-20.290</t>
  </si>
  <si>
    <t>С12-20.465</t>
  </si>
  <si>
    <t>С12-20.465.в</t>
  </si>
  <si>
    <t>С16-40.390</t>
  </si>
  <si>
    <t>Пв12-20.207.в</t>
  </si>
  <si>
    <t>Плита 3 этажа на отм. +11,620</t>
  </si>
  <si>
    <t>Монолитные стены выхода на кровлю</t>
  </si>
  <si>
    <t>Блок 1 и 2</t>
  </si>
  <si>
    <t>Пв12-20.97</t>
  </si>
  <si>
    <t>Пн12-20.75</t>
  </si>
  <si>
    <t>Плиты выходов на кровлю</t>
  </si>
  <si>
    <t>шт.</t>
  </si>
  <si>
    <t>Балки сборные железобетонные</t>
  </si>
  <si>
    <t>ЦБНД-18-3 серия ПК-01-06</t>
  </si>
  <si>
    <t>Плиты сборные железобетонные</t>
  </si>
  <si>
    <t>ПС-1      2ПК40,5.15-8 4030х1490</t>
  </si>
  <si>
    <t>ПС-2        2ПК52.15-8 5180х1490</t>
  </si>
  <si>
    <t>ПС-2.1    2ПК52.15-12 5180х1490</t>
  </si>
  <si>
    <t>ПС-3    2ПК65,5.15-12 6530х1490</t>
  </si>
  <si>
    <t>ПС-4    2ПК59,5.15-12 5930х1490</t>
  </si>
  <si>
    <t>ПС-5      2ПК60.15-12 5980х1490</t>
  </si>
  <si>
    <t>ПС-6     2ПК60,5.15-8 6030х1490</t>
  </si>
  <si>
    <t>ПС-7    2ПК53,5.15-12 5330х1490</t>
  </si>
  <si>
    <t>1. Согласовать с заводом изготовителем исполнение сборных плит с закладными деталями на кромках
2. Продольные швы между сборными плитами и стыками со смежными конструкциями зачеканить раствором марки не ниже М150</t>
  </si>
  <si>
    <t>в/о 4-5/БД-БГ</t>
  </si>
  <si>
    <t>в/о 2-3/АВ-АЖ</t>
  </si>
  <si>
    <t>в/о 4-6/АД-АЕ</t>
  </si>
  <si>
    <t>в/о 31-32/АВ-АГ</t>
  </si>
  <si>
    <t>в/о 27-28/А-Г</t>
  </si>
  <si>
    <t>в/о 5-6/А-Б</t>
  </si>
  <si>
    <t>Монолитные лестничные марши</t>
  </si>
  <si>
    <t>Межэтажные площадки</t>
  </si>
  <si>
    <t>в/о 22-25/А-Б</t>
  </si>
  <si>
    <t>в/о 1-2/АА-АГ</t>
  </si>
  <si>
    <t>в/о 5-11/АЮ-БА</t>
  </si>
  <si>
    <t>в/о 38-39/С-У</t>
  </si>
  <si>
    <t>Сборные лестничные марши</t>
  </si>
  <si>
    <t>в/о 26-27/С-АЕ</t>
  </si>
  <si>
    <t>песок средний</t>
  </si>
  <si>
    <t>Бетон В25, W6, F150</t>
  </si>
  <si>
    <t>в/о 29-31/АГ-АД</t>
  </si>
  <si>
    <t>Арматура Ø10 A240С</t>
  </si>
  <si>
    <t>в/о 3-5/А-Б</t>
  </si>
  <si>
    <t>Пл3 (1шт)</t>
  </si>
  <si>
    <t>Пл4 (2шт)</t>
  </si>
  <si>
    <t>Пл5 (1шт)</t>
  </si>
  <si>
    <t>Каркасы плоские</t>
  </si>
  <si>
    <t>Кр-3</t>
  </si>
  <si>
    <t>Кр-2</t>
  </si>
  <si>
    <t>Лм3 (1шт)</t>
  </si>
  <si>
    <t>Лм5 (3шт)</t>
  </si>
  <si>
    <t>Лм6 (1шт)</t>
  </si>
  <si>
    <t>Лм7 (1шт)</t>
  </si>
  <si>
    <t>Пл12 (2шт)</t>
  </si>
  <si>
    <t>Б1 (1шт)</t>
  </si>
  <si>
    <t>Б2 (1шт)</t>
  </si>
  <si>
    <t>Кр-1</t>
  </si>
  <si>
    <t>колонны</t>
  </si>
  <si>
    <t>ЛМ31.17,5.15-5д ЗАО "Метробетон" (по ГОСТ 9818-2015)</t>
  </si>
  <si>
    <t>ЛМ34.17,5.16,5-5д ЗАО "Метробетон" (по ГОСТ 9818-2015)</t>
  </si>
  <si>
    <t>ЛМ40.18.19,5-5д ЗАО "Метробетон" (по ГОСТ 9818-2015)</t>
  </si>
  <si>
    <t>Пл1 (3шт)</t>
  </si>
  <si>
    <t>Пл2 (1шт)</t>
  </si>
  <si>
    <t>Пл6 (1шт)</t>
  </si>
  <si>
    <t>Пл7 (1шт)</t>
  </si>
  <si>
    <t>Пл8 (1шт)</t>
  </si>
  <si>
    <t>Пл9 (1шт)</t>
  </si>
  <si>
    <t>Пл10 (1шт)</t>
  </si>
  <si>
    <t>Пл11 (1шт)</t>
  </si>
  <si>
    <t>Лм1 (1шт)</t>
  </si>
  <si>
    <t>Лм2 (1шт)</t>
  </si>
  <si>
    <t>Лм3 (3шт)</t>
  </si>
  <si>
    <t>Лм4 (1шт)</t>
  </si>
  <si>
    <t>Лм5 (2шт)</t>
  </si>
  <si>
    <t>ЛМ40.17,5.19,5-5д ЗАО "Метробетон" (по ГОСТ 9818-2015)</t>
  </si>
  <si>
    <t>ЛМ37.17,5.18-5д ЗАО "Метробетон" (по ГОСТ 9818-2015)</t>
  </si>
  <si>
    <t>Пл13 (2шт)</t>
  </si>
  <si>
    <t>Керамзит D500</t>
  </si>
  <si>
    <t>Плиты шахты лифта ПШ1_ШТ; ПШ2_ШТ</t>
  </si>
  <si>
    <t>Бетон В30, W8, F150 (ПШ1_ШТ)</t>
  </si>
  <si>
    <t>Бетон В25, W4, F75 (ПШ2_ШТ)</t>
  </si>
  <si>
    <t>Общеобразовательная школа на 550 мест по адресу: Санкт-Петербург, внутригородское муниципальное образование поселок Шушары, территория Пулковское, Кокколевская улица, участок 18</t>
  </si>
  <si>
    <t>Выполнено в соответствии с проектом ООО "АКБ СТРОЦЭКСПЕРТ" шифр Ш-550-Р-КЖЛ</t>
  </si>
  <si>
    <t>КЖ0, КЖ1, КЖЛ, КЖЛФ</t>
  </si>
  <si>
    <t>бетон В30, м3</t>
  </si>
  <si>
    <t>бассейн большой</t>
  </si>
  <si>
    <t>басейн малый</t>
  </si>
  <si>
    <t>крышки лифта</t>
  </si>
  <si>
    <t>выход на кровлю стены</t>
  </si>
  <si>
    <t>пп выхода на кровлю</t>
  </si>
  <si>
    <t>Лестничные марши</t>
  </si>
  <si>
    <t>лестницы монолит + МЛП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</si>
</sst>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_-* #,##0.00_р_._-;\-* #,##0.00_р_._-;_-* &quot;-&quot;??_р_._-;_-@_-"/>
    <numFmt numFmtId="166" formatCode="0.000"/>
    <numFmt numFmtId="167" formatCode="0.0"/>
    <numFmt numFmtId="168" formatCode="#,##0.00\ &quot;₽&quot;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rgb="FF0070C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Aptos Narrow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165" fontId="9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2" fontId="4" fillId="0" borderId="0" xfId="0" applyNumberFormat="1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166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166" fontId="15" fillId="0" borderId="1" xfId="1" applyNumberFormat="1" applyFont="1" applyBorder="1" applyAlignment="1">
      <alignment horizontal="center" vertical="center" wrapText="1"/>
    </xf>
    <xf numFmtId="166" fontId="14" fillId="0" borderId="1" xfId="1" applyNumberFormat="1" applyFont="1" applyBorder="1" applyAlignment="1">
      <alignment horizontal="right" vertical="center" wrapText="1"/>
    </xf>
    <xf numFmtId="166" fontId="1" fillId="0" borderId="0" xfId="1" applyNumberFormat="1" applyFont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17" fillId="0" borderId="1" xfId="1" applyNumberFormat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4" fillId="0" borderId="0" xfId="1" applyFont="1" applyAlignment="1">
      <alignment horizontal="right" vertical="center" wrapText="1"/>
    </xf>
    <xf numFmtId="14" fontId="14" fillId="0" borderId="0" xfId="1" applyNumberFormat="1" applyFont="1" applyAlignment="1">
      <alignment horizontal="right" vertical="center" wrapText="1"/>
    </xf>
    <xf numFmtId="166" fontId="14" fillId="0" borderId="6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9" fillId="0" borderId="18" xfId="0" applyFont="1" applyBorder="1"/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0" fillId="4" borderId="15" xfId="0" applyFill="1" applyBorder="1"/>
    <xf numFmtId="2" fontId="20" fillId="4" borderId="19" xfId="0" applyNumberFormat="1" applyFont="1" applyFill="1" applyBorder="1"/>
    <xf numFmtId="1" fontId="20" fillId="4" borderId="19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2" fontId="0" fillId="0" borderId="0" xfId="0" applyNumberFormat="1"/>
    <xf numFmtId="1" fontId="3" fillId="4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1" fillId="0" borderId="6" xfId="1" applyFont="1" applyBorder="1" applyAlignment="1">
      <alignment horizontal="center" vertical="center" wrapText="1"/>
    </xf>
    <xf numFmtId="166" fontId="1" fillId="0" borderId="9" xfId="1" applyNumberFormat="1" applyFont="1" applyBorder="1" applyAlignment="1">
      <alignment horizontal="center" vertical="center" wrapText="1"/>
    </xf>
    <xf numFmtId="167" fontId="3" fillId="4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6" borderId="1" xfId="0" applyFont="1" applyFill="1" applyBorder="1" applyAlignment="1">
      <alignment horizontal="center" vertical="center" wrapText="1"/>
    </xf>
    <xf numFmtId="167" fontId="5" fillId="6" borderId="1" xfId="0" applyNumberFormat="1" applyFont="1" applyFill="1" applyBorder="1" applyAlignment="1">
      <alignment horizontal="righ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  <xf numFmtId="2" fontId="5" fillId="6" borderId="1" xfId="1" applyNumberFormat="1" applyFont="1" applyFill="1" applyBorder="1" applyAlignment="1">
      <alignment horizontal="center" vertical="center" wrapText="1"/>
    </xf>
    <xf numFmtId="166" fontId="2" fillId="6" borderId="1" xfId="1" applyNumberFormat="1" applyFont="1" applyFill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1" fillId="8" borderId="1" xfId="1" applyFont="1" applyFill="1" applyBorder="1" applyAlignment="1">
      <alignment horizontal="left" vertical="center" wrapText="1"/>
    </xf>
    <xf numFmtId="2" fontId="2" fillId="6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66" fontId="21" fillId="6" borderId="1" xfId="1" applyNumberFormat="1" applyFont="1" applyFill="1" applyBorder="1" applyAlignment="1">
      <alignment horizontal="center" vertical="center" wrapText="1"/>
    </xf>
    <xf numFmtId="166" fontId="17" fillId="0" borderId="1" xfId="1" applyNumberFormat="1" applyFont="1" applyBorder="1" applyAlignment="1">
      <alignment horizontal="center" vertical="center" wrapText="1"/>
    </xf>
    <xf numFmtId="166" fontId="2" fillId="4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166" fontId="1" fillId="6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 wrapText="1"/>
    </xf>
    <xf numFmtId="0" fontId="16" fillId="9" borderId="1" xfId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166" fontId="17" fillId="9" borderId="1" xfId="1" applyNumberFormat="1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left" vertical="center" wrapText="1"/>
    </xf>
    <xf numFmtId="0" fontId="1" fillId="9" borderId="1" xfId="1" applyFont="1" applyFill="1" applyBorder="1" applyAlignment="1">
      <alignment horizontal="center" vertical="center" wrapText="1"/>
    </xf>
    <xf numFmtId="166" fontId="2" fillId="9" borderId="1" xfId="1" applyNumberFormat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center" vertical="center" wrapText="1"/>
    </xf>
    <xf numFmtId="166" fontId="17" fillId="5" borderId="1" xfId="1" applyNumberFormat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horizontal="center" vertical="center" wrapText="1"/>
    </xf>
    <xf numFmtId="166" fontId="2" fillId="5" borderId="1" xfId="1" applyNumberFormat="1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left" vertical="center" wrapText="1"/>
    </xf>
    <xf numFmtId="0" fontId="4" fillId="7" borderId="1" xfId="1" applyFont="1" applyFill="1" applyBorder="1" applyAlignment="1">
      <alignment horizontal="center" vertical="center" wrapText="1"/>
    </xf>
    <xf numFmtId="166" fontId="17" fillId="7" borderId="1" xfId="1" applyNumberFormat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left" vertical="center" wrapText="1"/>
    </xf>
    <xf numFmtId="0" fontId="1" fillId="7" borderId="1" xfId="1" applyFont="1" applyFill="1" applyBorder="1" applyAlignment="1">
      <alignment horizontal="center" vertical="center" wrapText="1"/>
    </xf>
    <xf numFmtId="166" fontId="2" fillId="7" borderId="1" xfId="1" applyNumberFormat="1" applyFont="1" applyFill="1" applyBorder="1" applyAlignment="1">
      <alignment horizontal="center" vertical="center" wrapText="1"/>
    </xf>
    <xf numFmtId="0" fontId="1" fillId="10" borderId="1" xfId="1" applyFont="1" applyFill="1" applyBorder="1" applyAlignment="1">
      <alignment horizontal="center" vertical="center" wrapText="1"/>
    </xf>
    <xf numFmtId="0" fontId="13" fillId="10" borderId="1" xfId="1" applyFont="1" applyFill="1" applyBorder="1" applyAlignment="1">
      <alignment horizontal="center" vertical="center" wrapText="1"/>
    </xf>
    <xf numFmtId="0" fontId="1" fillId="11" borderId="1" xfId="1" applyFont="1" applyFill="1" applyBorder="1" applyAlignment="1">
      <alignment horizontal="center" vertical="center" wrapText="1"/>
    </xf>
    <xf numFmtId="0" fontId="13" fillId="11" borderId="1" xfId="1" applyFont="1" applyFill="1" applyBorder="1" applyAlignment="1">
      <alignment horizontal="center" vertical="center" wrapText="1"/>
    </xf>
    <xf numFmtId="166" fontId="14" fillId="0" borderId="0" xfId="1" applyNumberFormat="1" applyFont="1" applyAlignment="1">
      <alignment horizontal="right" vertical="center" wrapText="1"/>
    </xf>
    <xf numFmtId="0" fontId="18" fillId="0" borderId="0" xfId="1" applyFont="1" applyAlignment="1">
      <alignment vertical="center" wrapText="1"/>
    </xf>
    <xf numFmtId="0" fontId="1" fillId="0" borderId="3" xfId="1" applyFont="1" applyBorder="1" applyAlignment="1">
      <alignment horizontal="center" vertical="center" wrapText="1"/>
    </xf>
    <xf numFmtId="166" fontId="14" fillId="0" borderId="1" xfId="1" applyNumberFormat="1" applyFont="1" applyBorder="1" applyAlignment="1">
      <alignment vertical="center" wrapText="1"/>
    </xf>
    <xf numFmtId="0" fontId="2" fillId="6" borderId="1" xfId="1" applyFont="1" applyFill="1" applyBorder="1" applyAlignment="1">
      <alignment horizontal="center" vertical="center" wrapText="1"/>
    </xf>
    <xf numFmtId="1" fontId="1" fillId="6" borderId="1" xfId="1" applyNumberFormat="1" applyFont="1" applyFill="1" applyBorder="1" applyAlignment="1">
      <alignment horizontal="center" vertical="center" wrapText="1"/>
    </xf>
    <xf numFmtId="1" fontId="11" fillId="0" borderId="1" xfId="1" applyNumberFormat="1" applyFont="1" applyBorder="1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horizontal="center" vertical="center" wrapText="1"/>
    </xf>
    <xf numFmtId="166" fontId="2" fillId="4" borderId="6" xfId="1" applyNumberFormat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6" fontId="5" fillId="4" borderId="5" xfId="1" applyNumberFormat="1" applyFont="1" applyFill="1" applyBorder="1" applyAlignment="1">
      <alignment horizontal="center" vertical="center" wrapText="1"/>
    </xf>
    <xf numFmtId="166" fontId="2" fillId="4" borderId="5" xfId="1" applyNumberFormat="1" applyFont="1" applyFill="1" applyBorder="1" applyAlignment="1">
      <alignment horizontal="center" vertical="center" wrapText="1"/>
    </xf>
    <xf numFmtId="2" fontId="2" fillId="4" borderId="5" xfId="1" applyNumberFormat="1" applyFont="1" applyFill="1" applyBorder="1" applyAlignment="1">
      <alignment horizontal="center" vertical="center" wrapText="1"/>
    </xf>
    <xf numFmtId="166" fontId="5" fillId="4" borderId="13" xfId="1" applyNumberFormat="1" applyFont="1" applyFill="1" applyBorder="1" applyAlignment="1">
      <alignment horizontal="center" vertical="center" wrapText="1"/>
    </xf>
    <xf numFmtId="166" fontId="5" fillId="4" borderId="14" xfId="1" applyNumberFormat="1" applyFont="1" applyFill="1" applyBorder="1" applyAlignment="1">
      <alignment horizontal="center" vertical="center" wrapText="1"/>
    </xf>
    <xf numFmtId="166" fontId="2" fillId="4" borderId="13" xfId="1" applyNumberFormat="1" applyFont="1" applyFill="1" applyBorder="1" applyAlignment="1">
      <alignment horizontal="center" vertical="center" wrapText="1"/>
    </xf>
    <xf numFmtId="166" fontId="2" fillId="4" borderId="14" xfId="1" applyNumberFormat="1" applyFont="1" applyFill="1" applyBorder="1" applyAlignment="1">
      <alignment horizontal="center" vertical="center" wrapText="1"/>
    </xf>
    <xf numFmtId="2" fontId="2" fillId="4" borderId="14" xfId="1" applyNumberFormat="1" applyFont="1" applyFill="1" applyBorder="1" applyAlignment="1">
      <alignment horizontal="center" vertical="center" wrapText="1"/>
    </xf>
    <xf numFmtId="2" fontId="2" fillId="4" borderId="17" xfId="1" applyNumberFormat="1" applyFont="1" applyFill="1" applyBorder="1" applyAlignment="1">
      <alignment horizontal="center" vertical="center" wrapText="1"/>
    </xf>
    <xf numFmtId="1" fontId="11" fillId="0" borderId="13" xfId="1" applyNumberFormat="1" applyFont="1" applyBorder="1" applyAlignment="1">
      <alignment horizontal="center" vertical="center" wrapText="1"/>
    </xf>
    <xf numFmtId="1" fontId="11" fillId="0" borderId="14" xfId="1" applyNumberFormat="1" applyFont="1" applyBorder="1" applyAlignment="1">
      <alignment horizontal="center" vertical="center" wrapText="1"/>
    </xf>
    <xf numFmtId="166" fontId="2" fillId="4" borderId="15" xfId="1" applyNumberFormat="1" applyFont="1" applyFill="1" applyBorder="1" applyAlignment="1">
      <alignment horizontal="center" vertical="center" wrapText="1"/>
    </xf>
    <xf numFmtId="166" fontId="2" fillId="4" borderId="16" xfId="1" applyNumberFormat="1" applyFont="1" applyFill="1" applyBorder="1" applyAlignment="1">
      <alignment horizontal="center" vertical="center" wrapText="1"/>
    </xf>
    <xf numFmtId="166" fontId="2" fillId="4" borderId="17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left" vertical="center" wrapText="1"/>
    </xf>
    <xf numFmtId="2" fontId="2" fillId="4" borderId="31" xfId="1" applyNumberFormat="1" applyFont="1" applyFill="1" applyBorder="1" applyAlignment="1">
      <alignment horizontal="center" vertical="center" wrapText="1"/>
    </xf>
    <xf numFmtId="2" fontId="5" fillId="4" borderId="31" xfId="1" applyNumberFormat="1" applyFont="1" applyFill="1" applyBorder="1" applyAlignment="1">
      <alignment horizontal="center" vertical="center" wrapText="1"/>
    </xf>
    <xf numFmtId="0" fontId="14" fillId="0" borderId="31" xfId="1" applyFont="1" applyBorder="1" applyAlignment="1">
      <alignment horizontal="right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  <xf numFmtId="166" fontId="5" fillId="4" borderId="3" xfId="1" applyNumberFormat="1" applyFont="1" applyFill="1" applyBorder="1" applyAlignment="1">
      <alignment horizontal="center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6" fontId="2" fillId="4" borderId="33" xfId="1" applyNumberFormat="1" applyFont="1" applyFill="1" applyBorder="1" applyAlignment="1">
      <alignment horizontal="center" vertical="center" wrapText="1"/>
    </xf>
    <xf numFmtId="166" fontId="2" fillId="4" borderId="25" xfId="1" applyNumberFormat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166" fontId="5" fillId="4" borderId="32" xfId="1" applyNumberFormat="1" applyFont="1" applyFill="1" applyBorder="1" applyAlignment="1">
      <alignment horizontal="center" vertical="center" wrapText="1"/>
    </xf>
    <xf numFmtId="166" fontId="2" fillId="4" borderId="32" xfId="1" applyNumberFormat="1" applyFont="1" applyFill="1" applyBorder="1" applyAlignment="1">
      <alignment horizontal="center" vertical="center" wrapText="1"/>
    </xf>
    <xf numFmtId="2" fontId="23" fillId="4" borderId="13" xfId="1" applyNumberFormat="1" applyFont="1" applyFill="1" applyBorder="1" applyAlignment="1">
      <alignment horizontal="center" vertical="center" wrapText="1"/>
    </xf>
    <xf numFmtId="2" fontId="23" fillId="4" borderId="1" xfId="1" applyNumberFormat="1" applyFont="1" applyFill="1" applyBorder="1" applyAlignment="1">
      <alignment horizontal="center" vertical="center" wrapText="1"/>
    </xf>
    <xf numFmtId="2" fontId="23" fillId="4" borderId="14" xfId="1" applyNumberFormat="1" applyFont="1" applyFill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166" fontId="5" fillId="4" borderId="22" xfId="1" applyNumberFormat="1" applyFont="1" applyFill="1" applyBorder="1" applyAlignment="1">
      <alignment horizontal="center" vertical="center" wrapText="1"/>
    </xf>
    <xf numFmtId="166" fontId="2" fillId="4" borderId="22" xfId="1" applyNumberFormat="1" applyFont="1" applyFill="1" applyBorder="1" applyAlignment="1">
      <alignment horizontal="center" vertical="center" wrapText="1"/>
    </xf>
    <xf numFmtId="2" fontId="23" fillId="4" borderId="22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Border="1" applyAlignment="1">
      <alignment horizontal="center" vertical="center" wrapText="1"/>
    </xf>
    <xf numFmtId="166" fontId="2" fillId="4" borderId="23" xfId="1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4" borderId="34" xfId="0" applyFill="1" applyBorder="1"/>
    <xf numFmtId="0" fontId="1" fillId="4" borderId="30" xfId="0" applyFont="1" applyFill="1" applyBorder="1" applyAlignment="1">
      <alignment horizontal="center" vertical="center" wrapText="1"/>
    </xf>
    <xf numFmtId="1" fontId="1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8" fontId="0" fillId="0" borderId="0" xfId="0" applyNumberForma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" fillId="6" borderId="3" xfId="1" applyFont="1" applyFill="1" applyBorder="1" applyAlignment="1">
      <alignment horizontal="center" vertical="center" wrapText="1"/>
    </xf>
    <xf numFmtId="0" fontId="1" fillId="6" borderId="5" xfId="1" applyFont="1" applyFill="1" applyBorder="1" applyAlignment="1">
      <alignment horizontal="center" vertical="center" wrapText="1"/>
    </xf>
    <xf numFmtId="166" fontId="14" fillId="0" borderId="6" xfId="1" applyNumberFormat="1" applyFont="1" applyBorder="1" applyAlignment="1">
      <alignment horizontal="center" vertical="center" wrapText="1"/>
    </xf>
    <xf numFmtId="166" fontId="14" fillId="0" borderId="7" xfId="1" applyNumberFormat="1" applyFont="1" applyBorder="1" applyAlignment="1">
      <alignment horizontal="center" vertical="center" wrapText="1"/>
    </xf>
    <xf numFmtId="166" fontId="14" fillId="0" borderId="8" xfId="1" applyNumberFormat="1" applyFont="1" applyBorder="1" applyAlignment="1">
      <alignment horizontal="center" vertical="center" wrapText="1"/>
    </xf>
    <xf numFmtId="2" fontId="21" fillId="0" borderId="26" xfId="1" applyNumberFormat="1" applyFont="1" applyFill="1" applyBorder="1" applyAlignment="1">
      <alignment horizontal="center" vertical="center" wrapText="1"/>
    </xf>
    <xf numFmtId="2" fontId="21" fillId="0" borderId="35" xfId="1" applyNumberFormat="1" applyFont="1" applyFill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166" fontId="2" fillId="4" borderId="25" xfId="1" applyNumberFormat="1" applyFont="1" applyFill="1" applyBorder="1" applyAlignment="1">
      <alignment horizontal="center" vertical="center" wrapText="1"/>
    </xf>
    <xf numFmtId="166" fontId="2" fillId="4" borderId="5" xfId="1" applyNumberFormat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2" fontId="21" fillId="0" borderId="6" xfId="1" applyNumberFormat="1" applyFont="1" applyFill="1" applyBorder="1" applyAlignment="1">
      <alignment horizontal="center" vertical="center" wrapText="1"/>
    </xf>
    <xf numFmtId="2" fontId="21" fillId="0" borderId="8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1" fillId="0" borderId="29" xfId="1" applyFont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166" fontId="5" fillId="4" borderId="25" xfId="1" applyNumberFormat="1" applyFont="1" applyFill="1" applyBorder="1" applyAlignment="1">
      <alignment horizontal="center" vertical="center" wrapText="1"/>
    </xf>
    <xf numFmtId="166" fontId="5" fillId="4" borderId="5" xfId="1" applyNumberFormat="1" applyFont="1" applyFill="1" applyBorder="1" applyAlignment="1">
      <alignment horizontal="center" vertical="center" wrapText="1"/>
    </xf>
    <xf numFmtId="0" fontId="13" fillId="11" borderId="1" xfId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0" fillId="4" borderId="38" xfId="0" applyFont="1" applyFill="1" applyBorder="1" applyAlignment="1">
      <alignment horizontal="center"/>
    </xf>
    <xf numFmtId="0" fontId="20" fillId="4" borderId="39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1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43"/>
  <sheetViews>
    <sheetView tabSelected="1" view="pageBreakPreview" zoomScaleNormal="100" zoomScaleSheetLayoutView="100" workbookViewId="0">
      <selection activeCell="A25" sqref="A25:G25"/>
    </sheetView>
  </sheetViews>
  <sheetFormatPr defaultRowHeight="15"/>
  <cols>
    <col min="1" max="1" width="7.140625" style="2" customWidth="1"/>
    <col min="2" max="2" width="34.7109375" style="1" customWidth="1"/>
    <col min="3" max="5" width="8.28515625" style="2" customWidth="1"/>
    <col min="6" max="6" width="12.42578125" style="19" customWidth="1"/>
    <col min="7" max="7" width="27.85546875" style="16" customWidth="1"/>
    <col min="8" max="16384" width="9.140625" style="7"/>
  </cols>
  <sheetData>
    <row r="1" spans="1:8" ht="1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5.25" customHeight="1">
      <c r="A2" s="198" t="s">
        <v>47</v>
      </c>
      <c r="B2" s="198"/>
      <c r="C2" s="198"/>
      <c r="D2" s="198"/>
      <c r="E2" s="198"/>
      <c r="F2" s="198"/>
      <c r="G2" s="198"/>
    </row>
    <row r="3" spans="1:8">
      <c r="A3" s="199" t="s">
        <v>48</v>
      </c>
      <c r="B3" s="199"/>
      <c r="C3" s="199"/>
      <c r="D3" s="199"/>
      <c r="E3" s="199"/>
      <c r="F3" s="199"/>
      <c r="G3" s="199"/>
    </row>
    <row r="4" spans="1:8">
      <c r="A4" s="200" t="s">
        <v>50</v>
      </c>
      <c r="B4" s="200"/>
    </row>
    <row r="5" spans="1:8" ht="24.75" customHeight="1">
      <c r="A5" s="8" t="s">
        <v>2</v>
      </c>
      <c r="B5" s="8" t="s">
        <v>3</v>
      </c>
      <c r="C5" s="8" t="s">
        <v>4</v>
      </c>
      <c r="D5" s="8" t="s">
        <v>52</v>
      </c>
      <c r="E5" s="8" t="s">
        <v>53</v>
      </c>
      <c r="F5" s="8" t="s">
        <v>5</v>
      </c>
      <c r="G5" s="8" t="s">
        <v>10</v>
      </c>
      <c r="H5" s="9"/>
    </row>
    <row r="6" spans="1:8" ht="15.75">
      <c r="A6" s="189" t="s">
        <v>51</v>
      </c>
      <c r="B6" s="190"/>
      <c r="C6" s="190"/>
      <c r="D6" s="190"/>
      <c r="E6" s="190"/>
      <c r="F6" s="190"/>
      <c r="G6" s="191"/>
      <c r="H6" s="9"/>
    </row>
    <row r="7" spans="1:8" ht="60.75" customHeight="1">
      <c r="A7" s="10">
        <v>1</v>
      </c>
      <c r="B7" s="3" t="s">
        <v>54</v>
      </c>
      <c r="C7" s="10" t="s">
        <v>0</v>
      </c>
      <c r="D7" s="75">
        <v>401.2</v>
      </c>
      <c r="E7" s="75">
        <v>1324.6</v>
      </c>
      <c r="F7" s="73">
        <f>D7+E7</f>
        <v>1725.8</v>
      </c>
      <c r="G7" s="17"/>
      <c r="H7" s="9"/>
    </row>
    <row r="8" spans="1:8" ht="15.75">
      <c r="A8" s="189" t="s">
        <v>8</v>
      </c>
      <c r="B8" s="190"/>
      <c r="C8" s="190"/>
      <c r="D8" s="190"/>
      <c r="E8" s="190"/>
      <c r="F8" s="190"/>
      <c r="G8" s="191"/>
      <c r="H8" s="9"/>
    </row>
    <row r="9" spans="1:8" ht="38.25" customHeight="1">
      <c r="A9" s="10">
        <v>2</v>
      </c>
      <c r="B9" s="3" t="s">
        <v>55</v>
      </c>
      <c r="C9" s="10" t="s">
        <v>1</v>
      </c>
      <c r="D9" s="75">
        <f>1337*2</f>
        <v>2674</v>
      </c>
      <c r="E9" s="75">
        <f>9156*2</f>
        <v>18312</v>
      </c>
      <c r="F9" s="68">
        <f>D9+E9</f>
        <v>20986</v>
      </c>
      <c r="G9" s="17"/>
      <c r="H9" s="9"/>
    </row>
    <row r="10" spans="1:8" ht="38.25" customHeight="1">
      <c r="A10" s="10">
        <v>3</v>
      </c>
      <c r="B10" s="3" t="s">
        <v>9</v>
      </c>
      <c r="C10" s="10" t="s">
        <v>0</v>
      </c>
      <c r="D10" s="75">
        <v>133.19999999999999</v>
      </c>
      <c r="E10" s="75">
        <v>457.8</v>
      </c>
      <c r="F10" s="68">
        <f>D10+E10</f>
        <v>591</v>
      </c>
      <c r="G10" s="17"/>
      <c r="H10" s="11"/>
    </row>
    <row r="11" spans="1:8" ht="15.75">
      <c r="A11" s="189" t="s">
        <v>44</v>
      </c>
      <c r="B11" s="190"/>
      <c r="C11" s="190"/>
      <c r="D11" s="190"/>
      <c r="E11" s="190"/>
      <c r="F11" s="190"/>
      <c r="G11" s="191"/>
    </row>
    <row r="12" spans="1:8" ht="42.75">
      <c r="A12" s="10">
        <v>4</v>
      </c>
      <c r="B12" s="3" t="s">
        <v>56</v>
      </c>
      <c r="C12" s="12" t="s">
        <v>0</v>
      </c>
      <c r="D12" s="76">
        <v>639.70000000000005</v>
      </c>
      <c r="E12" s="76">
        <v>2157.8000000000002</v>
      </c>
      <c r="F12" s="73">
        <f>D12+E12</f>
        <v>2797.5</v>
      </c>
      <c r="G12" s="6"/>
    </row>
    <row r="13" spans="1:8">
      <c r="A13" s="10">
        <f>A12+1</f>
        <v>5</v>
      </c>
      <c r="B13" s="4" t="s">
        <v>62</v>
      </c>
      <c r="C13" s="13" t="s">
        <v>7</v>
      </c>
      <c r="D13" s="78">
        <f>(0)*2.466/1000</f>
        <v>0</v>
      </c>
      <c r="E13" s="78">
        <f>(3.75*39+4.3*13+2748+1.65*380)*2.466/1000</f>
        <v>8.8212519000000018</v>
      </c>
      <c r="F13" s="21">
        <f t="shared" ref="F13:F19" si="0">D13+E13</f>
        <v>8.8212519000000018</v>
      </c>
      <c r="G13" s="195" t="s">
        <v>63</v>
      </c>
    </row>
    <row r="14" spans="1:8">
      <c r="A14" s="10">
        <f>A13+1</f>
        <v>6</v>
      </c>
      <c r="B14" s="4" t="s">
        <v>58</v>
      </c>
      <c r="C14" s="13" t="s">
        <v>7</v>
      </c>
      <c r="D14" s="79">
        <f>(2.25*116+3.2*16+3.14*16+4.1*32+3.94*32+2.1*64+2.6*604+30133.4+3.15*80+1.47*168)*1.578/1000</f>
        <v>52.005956640000008</v>
      </c>
      <c r="E14" s="79">
        <f>(2.25*132+4.75*24+3.2*119+3.14*119+4*207+3.94*178+2.9*8+3.8*6+3.1*5+2.84*8+3.74*6+3.04*5+3.9*9+3.7*8+4.12*10+4.6*10+4.35*9+4.1*10+4.31*9+4.54*9+3.64*8+3.94*10+4.54*8+3.84*9+4.64*8+2.1*352+2.2*25+2.42*9+2.3*26+2.45*8+2*14+2.47*8+2.8*7+2.7*7+100939+3.15*40+3.77*56+1.47*736)*1.578/1000</f>
        <v>168.28508411999999</v>
      </c>
      <c r="F14" s="21">
        <f t="shared" si="0"/>
        <v>220.29104075999999</v>
      </c>
      <c r="G14" s="196"/>
    </row>
    <row r="15" spans="1:8" ht="15" customHeight="1">
      <c r="A15" s="10">
        <f>A14+1</f>
        <v>7</v>
      </c>
      <c r="B15" s="4" t="s">
        <v>59</v>
      </c>
      <c r="C15" s="13" t="s">
        <v>7</v>
      </c>
      <c r="D15" s="79">
        <f>(1.59*631+1.56*276+0.94*64+0.9*123+2129.8+2.51*737+2.11*791+3.95*99+3.55*36)*0.888/1000</f>
        <v>6.9017491200000007</v>
      </c>
      <c r="E15" s="79">
        <f>(1.59*936+1.56*460+3564+2.51*1333+2.11*4327+2.21*776+2.07*50)*0.888/1000</f>
        <v>17.816920799999998</v>
      </c>
      <c r="F15" s="21">
        <f t="shared" si="0"/>
        <v>24.71866992</v>
      </c>
      <c r="G15" s="196"/>
    </row>
    <row r="16" spans="1:8">
      <c r="A16" s="69">
        <f>A15+1</f>
        <v>8</v>
      </c>
      <c r="B16" s="4" t="s">
        <v>60</v>
      </c>
      <c r="C16" s="13" t="s">
        <v>7</v>
      </c>
      <c r="D16" s="79">
        <f>(1.69*1922)*0.617/1000</f>
        <v>2.0041270599999996</v>
      </c>
      <c r="E16" s="79">
        <f>(1.69*6611)*0.617/1000</f>
        <v>6.8934880300000003</v>
      </c>
      <c r="F16" s="21">
        <f t="shared" si="0"/>
        <v>8.8976150900000004</v>
      </c>
      <c r="G16" s="196"/>
    </row>
    <row r="17" spans="1:7">
      <c r="A17" s="69">
        <f>A16+1</f>
        <v>9</v>
      </c>
      <c r="B17" s="4" t="s">
        <v>61</v>
      </c>
      <c r="C17" s="13" t="s">
        <v>7</v>
      </c>
      <c r="D17" s="78">
        <f>(0.28*185)*0.395/1000</f>
        <v>2.0461000000000003E-2</v>
      </c>
      <c r="E17" s="78">
        <f>(0)*0.395/1000</f>
        <v>0</v>
      </c>
      <c r="F17" s="21">
        <f t="shared" si="0"/>
        <v>2.0461000000000003E-2</v>
      </c>
      <c r="G17" s="197"/>
    </row>
    <row r="18" spans="1:7">
      <c r="A18" s="69"/>
      <c r="B18" s="14" t="s">
        <v>11</v>
      </c>
      <c r="C18" s="12" t="s">
        <v>7</v>
      </c>
      <c r="D18" s="74">
        <f>SUM(D13:D17)</f>
        <v>60.932293820000005</v>
      </c>
      <c r="E18" s="74">
        <f>SUM(E13:E17)</f>
        <v>201.81674484999996</v>
      </c>
      <c r="F18" s="22">
        <f>D18+E18</f>
        <v>262.74903866999995</v>
      </c>
      <c r="G18" s="6"/>
    </row>
    <row r="19" spans="1:7" ht="38.25">
      <c r="A19" s="69">
        <v>10</v>
      </c>
      <c r="B19" s="4" t="s">
        <v>57</v>
      </c>
      <c r="C19" s="13" t="s">
        <v>6</v>
      </c>
      <c r="D19" s="77">
        <v>184</v>
      </c>
      <c r="E19" s="77">
        <v>275</v>
      </c>
      <c r="F19" s="70">
        <f t="shared" si="0"/>
        <v>459</v>
      </c>
      <c r="G19" s="6" t="s">
        <v>13</v>
      </c>
    </row>
    <row r="20" spans="1:7">
      <c r="A20" s="23"/>
      <c r="B20" s="24"/>
      <c r="C20" s="25"/>
      <c r="D20" s="25"/>
      <c r="E20" s="25"/>
      <c r="F20" s="26"/>
      <c r="G20" s="27"/>
    </row>
    <row r="21" spans="1:7">
      <c r="A21" s="188"/>
      <c r="B21" s="188"/>
      <c r="C21" s="188"/>
      <c r="D21" s="188"/>
      <c r="E21" s="188"/>
      <c r="F21" s="188"/>
      <c r="G21" s="188"/>
    </row>
    <row r="22" spans="1:7">
      <c r="A22" s="187"/>
      <c r="B22" s="187"/>
      <c r="C22" s="187"/>
      <c r="D22" s="187"/>
      <c r="E22" s="187"/>
      <c r="F22" s="187"/>
      <c r="G22" s="187"/>
    </row>
    <row r="23" spans="1:7">
      <c r="A23" s="192"/>
      <c r="B23" s="192"/>
      <c r="C23" s="192"/>
      <c r="D23" s="192"/>
      <c r="E23" s="192"/>
      <c r="F23" s="192"/>
      <c r="G23" s="192"/>
    </row>
    <row r="24" spans="1:7" ht="32.25" customHeight="1">
      <c r="A24" s="192"/>
      <c r="B24" s="192"/>
      <c r="C24" s="192"/>
      <c r="D24" s="192"/>
      <c r="E24" s="192"/>
      <c r="F24" s="192"/>
      <c r="G24" s="192"/>
    </row>
    <row r="25" spans="1:7" ht="30" customHeight="1">
      <c r="A25" s="187"/>
      <c r="B25" s="187"/>
      <c r="C25" s="187"/>
      <c r="D25" s="187"/>
      <c r="E25" s="187"/>
      <c r="F25" s="187"/>
      <c r="G25" s="187"/>
    </row>
    <row r="26" spans="1:7" ht="54" customHeight="1">
      <c r="A26" s="187"/>
      <c r="B26" s="187"/>
      <c r="C26" s="187"/>
      <c r="D26" s="187"/>
      <c r="E26" s="187"/>
      <c r="F26" s="187"/>
      <c r="G26" s="187"/>
    </row>
    <row r="27" spans="1:7">
      <c r="A27" s="187"/>
      <c r="B27" s="187"/>
      <c r="C27" s="187"/>
      <c r="D27" s="187"/>
      <c r="E27" s="187"/>
      <c r="F27" s="187"/>
      <c r="G27" s="187"/>
    </row>
    <row r="28" spans="1:7" ht="21" customHeight="1">
      <c r="A28" s="187"/>
      <c r="B28" s="187"/>
      <c r="C28" s="187"/>
      <c r="D28" s="187"/>
      <c r="E28" s="187"/>
      <c r="F28" s="187"/>
      <c r="G28" s="187"/>
    </row>
    <row r="29" spans="1:7" ht="63.75" customHeight="1">
      <c r="A29" s="193"/>
      <c r="B29" s="193"/>
      <c r="C29" s="193"/>
      <c r="D29" s="193"/>
      <c r="E29" s="193"/>
      <c r="F29" s="193"/>
      <c r="G29" s="193"/>
    </row>
    <row r="30" spans="1:7">
      <c r="A30" s="194"/>
      <c r="B30" s="194"/>
      <c r="C30" s="194"/>
      <c r="D30" s="194"/>
      <c r="E30" s="194"/>
      <c r="F30" s="194"/>
      <c r="G30" s="194"/>
    </row>
    <row r="31" spans="1:7" ht="15" customHeight="1">
      <c r="A31" s="194"/>
      <c r="B31" s="194"/>
      <c r="C31" s="194"/>
      <c r="D31" s="194"/>
      <c r="E31" s="194"/>
      <c r="F31" s="194"/>
      <c r="G31" s="194"/>
    </row>
    <row r="32" spans="1:7" ht="30.75" customHeight="1"/>
    <row r="33" spans="1:8" ht="33.75" customHeight="1">
      <c r="A33" s="187" t="s">
        <v>12</v>
      </c>
      <c r="B33" s="187"/>
      <c r="C33" s="187"/>
      <c r="D33" s="187"/>
      <c r="E33" s="187"/>
      <c r="F33" s="187"/>
      <c r="G33" s="187"/>
    </row>
    <row r="34" spans="1:8" ht="49.5" customHeight="1">
      <c r="H34" s="15"/>
    </row>
    <row r="35" spans="1:8" ht="21" customHeight="1"/>
    <row r="36" spans="1:8" ht="27" customHeight="1">
      <c r="H36" s="1"/>
    </row>
    <row r="37" spans="1:8" ht="64.5" customHeight="1">
      <c r="H37" s="18"/>
    </row>
    <row r="38" spans="1:8">
      <c r="H38" s="18"/>
    </row>
    <row r="39" spans="1:8">
      <c r="H39" s="1"/>
    </row>
    <row r="40" spans="1:8" ht="27.75" customHeight="1">
      <c r="H40" s="1"/>
    </row>
    <row r="41" spans="1:8" ht="64.5" customHeight="1">
      <c r="H41" s="1"/>
    </row>
    <row r="43" spans="1:8">
      <c r="H43" s="20"/>
    </row>
  </sheetData>
  <mergeCells count="20">
    <mergeCell ref="A1:G1"/>
    <mergeCell ref="A8:G8"/>
    <mergeCell ref="A2:G2"/>
    <mergeCell ref="A3:G3"/>
    <mergeCell ref="A4:B4"/>
    <mergeCell ref="A6:G6"/>
    <mergeCell ref="A33:G33"/>
    <mergeCell ref="A21:G21"/>
    <mergeCell ref="A11:G11"/>
    <mergeCell ref="A23:G23"/>
    <mergeCell ref="A24:G24"/>
    <mergeCell ref="A25:G25"/>
    <mergeCell ref="A26:G26"/>
    <mergeCell ref="A29:G29"/>
    <mergeCell ref="A30:G30"/>
    <mergeCell ref="A22:G22"/>
    <mergeCell ref="A27:G27"/>
    <mergeCell ref="A28:G28"/>
    <mergeCell ref="A31:G31"/>
    <mergeCell ref="G13:G17"/>
  </mergeCells>
  <phoneticPr fontId="7" type="noConversion"/>
  <pageMargins left="0.9055118110236221" right="0.70866141732283472" top="0.74803149606299213" bottom="0.74803149606299213" header="0.31496062992125984" footer="0.31496062992125984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94CB-AB6B-4E89-837F-CABF4D603277}">
  <sheetPr>
    <tabColor rgb="FF92D050"/>
  </sheetPr>
  <dimension ref="A1:G46"/>
  <sheetViews>
    <sheetView topLeftCell="A2" zoomScaleNormal="100" workbookViewId="0">
      <selection activeCell="D42" sqref="D42"/>
    </sheetView>
  </sheetViews>
  <sheetFormatPr defaultRowHeight="15"/>
  <cols>
    <col min="1" max="1" width="4.85546875" style="28" customWidth="1"/>
    <col min="2" max="2" width="75" style="46" customWidth="1"/>
    <col min="3" max="4" width="9.140625" style="28"/>
    <col min="5" max="5" width="11.7109375" style="47" customWidth="1"/>
    <col min="6" max="6" width="13.140625" style="28" bestFit="1" customWidth="1"/>
    <col min="7" max="16384" width="9.140625" style="28"/>
  </cols>
  <sheetData>
    <row r="1" spans="1:7" ht="15.75" customHeight="1">
      <c r="A1" s="198" t="s">
        <v>49</v>
      </c>
      <c r="B1" s="198"/>
      <c r="C1" s="198"/>
      <c r="D1" s="198"/>
      <c r="E1" s="198"/>
      <c r="F1" s="80"/>
      <c r="G1" s="80"/>
    </row>
    <row r="2" spans="1:7" ht="37.5" customHeight="1">
      <c r="A2" s="198" t="s">
        <v>47</v>
      </c>
      <c r="B2" s="198"/>
      <c r="C2" s="198"/>
      <c r="D2" s="198"/>
      <c r="E2" s="198"/>
      <c r="F2" s="80"/>
      <c r="G2" s="80"/>
    </row>
    <row r="3" spans="1:7" ht="15" customHeight="1">
      <c r="A3" s="199" t="s">
        <v>48</v>
      </c>
      <c r="B3" s="199"/>
      <c r="C3" s="199"/>
      <c r="D3" s="199"/>
      <c r="E3" s="199"/>
      <c r="F3" s="81"/>
      <c r="G3" s="81"/>
    </row>
    <row r="4" spans="1:7" ht="19.5" customHeight="1">
      <c r="A4" s="205" t="s">
        <v>115</v>
      </c>
      <c r="B4" s="205"/>
      <c r="C4" s="2"/>
      <c r="D4" s="2"/>
      <c r="E4" s="2"/>
      <c r="F4" s="19"/>
      <c r="G4" s="16"/>
    </row>
    <row r="5" spans="1:7" s="29" customFormat="1" ht="15.75" customHeight="1">
      <c r="A5" s="201" t="s">
        <v>14</v>
      </c>
      <c r="B5" s="201" t="s">
        <v>15</v>
      </c>
      <c r="C5" s="201" t="s">
        <v>4</v>
      </c>
      <c r="D5" s="201" t="s">
        <v>185</v>
      </c>
      <c r="E5" s="204" t="s">
        <v>10</v>
      </c>
    </row>
    <row r="6" spans="1:7" s="29" customFormat="1" ht="15.75" customHeight="1">
      <c r="A6" s="202"/>
      <c r="B6" s="202"/>
      <c r="C6" s="202"/>
      <c r="D6" s="202"/>
      <c r="E6" s="204"/>
    </row>
    <row r="7" spans="1:7" ht="15.75">
      <c r="A7" s="30">
        <v>1</v>
      </c>
      <c r="B7" s="31" t="s">
        <v>184</v>
      </c>
      <c r="C7" s="32"/>
      <c r="D7" s="32"/>
      <c r="E7" s="34"/>
    </row>
    <row r="8" spans="1:7" s="37" customFormat="1" ht="16.5" customHeight="1">
      <c r="A8" s="33"/>
      <c r="B8" s="35" t="s">
        <v>24</v>
      </c>
      <c r="C8" s="33" t="s">
        <v>0</v>
      </c>
      <c r="D8" s="83">
        <v>80</v>
      </c>
      <c r="E8" s="40"/>
      <c r="F8" s="36"/>
    </row>
    <row r="9" spans="1:7" s="37" customFormat="1" ht="16.5" customHeight="1">
      <c r="A9" s="33"/>
      <c r="B9" s="38" t="s">
        <v>26</v>
      </c>
      <c r="C9" s="32" t="s">
        <v>7</v>
      </c>
      <c r="D9" s="84">
        <f>311*3.853/1000</f>
        <v>1.1982830000000002</v>
      </c>
      <c r="E9" s="40">
        <f>E10/D8</f>
        <v>0.13173077900000002</v>
      </c>
    </row>
    <row r="10" spans="1:7" s="37" customFormat="1" ht="16.5" customHeight="1">
      <c r="A10" s="33"/>
      <c r="B10" s="38" t="s">
        <v>22</v>
      </c>
      <c r="C10" s="32" t="s">
        <v>7</v>
      </c>
      <c r="D10" s="84">
        <f>12*2.466/1000</f>
        <v>2.9592000000000004E-2</v>
      </c>
      <c r="E10" s="40">
        <f>SUM(D9:D15,D17:D18)</f>
        <v>10.538462320000001</v>
      </c>
    </row>
    <row r="11" spans="1:7">
      <c r="A11" s="32"/>
      <c r="B11" s="38" t="s">
        <v>17</v>
      </c>
      <c r="C11" s="32" t="s">
        <v>7</v>
      </c>
      <c r="D11" s="84">
        <f>92*1.578/1000</f>
        <v>0.14517600000000003</v>
      </c>
      <c r="E11" s="40"/>
    </row>
    <row r="12" spans="1:7" ht="15.75" customHeight="1">
      <c r="A12" s="32"/>
      <c r="B12" s="38" t="s">
        <v>20</v>
      </c>
      <c r="C12" s="32" t="s">
        <v>7</v>
      </c>
      <c r="D12" s="84">
        <f>(2192+99)*0.888/1000</f>
        <v>2.034408</v>
      </c>
      <c r="E12" s="40"/>
    </row>
    <row r="13" spans="1:7" ht="15.75" customHeight="1">
      <c r="A13" s="32"/>
      <c r="B13" s="38" t="s">
        <v>18</v>
      </c>
      <c r="C13" s="32" t="s">
        <v>7</v>
      </c>
      <c r="D13" s="84">
        <f>45*0.617/1000</f>
        <v>2.7765000000000001E-2</v>
      </c>
      <c r="E13" s="49"/>
    </row>
    <row r="14" spans="1:7" ht="15.75" customHeight="1">
      <c r="A14" s="32"/>
      <c r="B14" s="38" t="s">
        <v>19</v>
      </c>
      <c r="C14" s="32" t="s">
        <v>7</v>
      </c>
      <c r="D14" s="84">
        <f>(2924+1808)*0.395/1000</f>
        <v>1.86914</v>
      </c>
      <c r="E14" s="49"/>
    </row>
    <row r="15" spans="1:7">
      <c r="A15" s="32"/>
      <c r="B15" s="38" t="s">
        <v>23</v>
      </c>
      <c r="C15" s="32" t="s">
        <v>7</v>
      </c>
      <c r="D15" s="84">
        <f>10*0.395/1000</f>
        <v>3.9500000000000004E-3</v>
      </c>
      <c r="E15" s="40"/>
    </row>
    <row r="16" spans="1:7" ht="15.75">
      <c r="A16" s="33">
        <v>2</v>
      </c>
      <c r="B16" s="82" t="s">
        <v>77</v>
      </c>
      <c r="C16" s="32"/>
      <c r="D16" s="44"/>
      <c r="E16" s="40"/>
    </row>
    <row r="17" spans="1:5">
      <c r="A17" s="32"/>
      <c r="B17" s="42" t="s">
        <v>69</v>
      </c>
      <c r="C17" s="43" t="s">
        <v>7</v>
      </c>
      <c r="D17" s="89">
        <f>D20+D23+D26+D29+D32</f>
        <v>4.4608147200000001</v>
      </c>
      <c r="E17" s="40"/>
    </row>
    <row r="18" spans="1:5">
      <c r="A18" s="32"/>
      <c r="B18" s="42" t="s">
        <v>70</v>
      </c>
      <c r="C18" s="43" t="s">
        <v>7</v>
      </c>
      <c r="D18" s="89">
        <f>D21+D24+D27+D30+D33</f>
        <v>0.76933360000000006</v>
      </c>
      <c r="E18" s="40"/>
    </row>
    <row r="19" spans="1:5">
      <c r="A19" s="32"/>
      <c r="B19" s="42" t="s">
        <v>124</v>
      </c>
      <c r="C19" s="43"/>
      <c r="D19" s="90"/>
      <c r="E19" s="40"/>
    </row>
    <row r="20" spans="1:5">
      <c r="A20" s="32"/>
      <c r="B20" s="38" t="s">
        <v>20</v>
      </c>
      <c r="C20" s="32" t="s">
        <v>7</v>
      </c>
      <c r="D20" s="84">
        <f>3.14*2*0.888/1000*247</f>
        <v>1.3774300799999999</v>
      </c>
      <c r="E20" s="40"/>
    </row>
    <row r="21" spans="1:5">
      <c r="A21" s="32"/>
      <c r="B21" s="38" t="s">
        <v>19</v>
      </c>
      <c r="C21" s="32" t="s">
        <v>7</v>
      </c>
      <c r="D21" s="84">
        <f>0.16*15*0.395/1000*247</f>
        <v>0.23415599999999998</v>
      </c>
      <c r="E21" s="40"/>
    </row>
    <row r="22" spans="1:5">
      <c r="A22" s="32"/>
      <c r="B22" s="42" t="s">
        <v>152</v>
      </c>
      <c r="C22" s="43"/>
      <c r="D22" s="90"/>
      <c r="E22" s="40"/>
    </row>
    <row r="23" spans="1:5">
      <c r="A23" s="32"/>
      <c r="B23" s="38" t="s">
        <v>20</v>
      </c>
      <c r="C23" s="32" t="s">
        <v>7</v>
      </c>
      <c r="D23" s="84">
        <f>3.87*2*0.888/1000*372</f>
        <v>2.5568006400000001</v>
      </c>
      <c r="E23" s="40"/>
    </row>
    <row r="24" spans="1:5">
      <c r="A24" s="32"/>
      <c r="B24" s="38" t="s">
        <v>19</v>
      </c>
      <c r="C24" s="32" t="s">
        <v>7</v>
      </c>
      <c r="D24" s="84">
        <f>0.16*19*0.395/1000*372</f>
        <v>0.44669760000000003</v>
      </c>
      <c r="E24" s="40"/>
    </row>
    <row r="25" spans="1:5">
      <c r="A25" s="32"/>
      <c r="B25" s="42" t="s">
        <v>186</v>
      </c>
      <c r="C25" s="43"/>
      <c r="D25" s="90"/>
      <c r="E25" s="40"/>
    </row>
    <row r="26" spans="1:5">
      <c r="A26" s="32"/>
      <c r="B26" s="38" t="s">
        <v>20</v>
      </c>
      <c r="C26" s="32" t="s">
        <v>7</v>
      </c>
      <c r="D26" s="84">
        <f>0.91*2*0.888/1000*184</f>
        <v>0.29737343999999999</v>
      </c>
      <c r="E26" s="40"/>
    </row>
    <row r="27" spans="1:5">
      <c r="A27" s="32"/>
      <c r="B27" s="38" t="s">
        <v>19</v>
      </c>
      <c r="C27" s="32" t="s">
        <v>7</v>
      </c>
      <c r="D27" s="84">
        <f>0.16*4*0.395/1000*184</f>
        <v>4.6515200000000007E-2</v>
      </c>
      <c r="E27" s="40"/>
    </row>
    <row r="28" spans="1:5">
      <c r="A28" s="32"/>
      <c r="B28" s="42" t="s">
        <v>187</v>
      </c>
      <c r="C28" s="43"/>
      <c r="D28" s="90"/>
      <c r="E28" s="40"/>
    </row>
    <row r="29" spans="1:5">
      <c r="A29" s="32"/>
      <c r="B29" s="38" t="s">
        <v>20</v>
      </c>
      <c r="C29" s="32" t="s">
        <v>7</v>
      </c>
      <c r="D29" s="84">
        <f>0.72*2*0.888/1000*7</f>
        <v>8.9510400000000004E-3</v>
      </c>
      <c r="E29" s="40"/>
    </row>
    <row r="30" spans="1:5">
      <c r="A30" s="32"/>
      <c r="B30" s="38" t="s">
        <v>19</v>
      </c>
      <c r="C30" s="32" t="s">
        <v>7</v>
      </c>
      <c r="D30" s="84">
        <f>0.16*4*0.395/1000*7</f>
        <v>1.7696000000000001E-3</v>
      </c>
      <c r="E30" s="40"/>
    </row>
    <row r="31" spans="1:5">
      <c r="A31" s="32"/>
      <c r="B31" s="42" t="s">
        <v>165</v>
      </c>
      <c r="C31" s="43"/>
      <c r="D31" s="90"/>
      <c r="E31" s="40"/>
    </row>
    <row r="32" spans="1:5">
      <c r="A32" s="32"/>
      <c r="B32" s="38" t="s">
        <v>20</v>
      </c>
      <c r="C32" s="32" t="s">
        <v>7</v>
      </c>
      <c r="D32" s="84">
        <f>1.17*2*0.888/1000*106</f>
        <v>0.22025951999999996</v>
      </c>
      <c r="E32" s="40"/>
    </row>
    <row r="33" spans="1:5">
      <c r="A33" s="32"/>
      <c r="B33" s="38" t="s">
        <v>19</v>
      </c>
      <c r="C33" s="32" t="s">
        <v>7</v>
      </c>
      <c r="D33" s="84">
        <f>0.16*6*0.395/1000*106</f>
        <v>4.01952E-2</v>
      </c>
      <c r="E33" s="40"/>
    </row>
    <row r="35" spans="1:5">
      <c r="A35" s="203" t="s">
        <v>143</v>
      </c>
      <c r="B35" s="203"/>
      <c r="C35" s="203"/>
      <c r="D35" s="203"/>
      <c r="E35" s="203"/>
    </row>
    <row r="36" spans="1:5">
      <c r="E36" s="48">
        <v>46272</v>
      </c>
    </row>
    <row r="46" spans="1:5" ht="27" customHeight="1"/>
  </sheetData>
  <mergeCells count="10">
    <mergeCell ref="E5:E6"/>
    <mergeCell ref="A35:E35"/>
    <mergeCell ref="A1:E1"/>
    <mergeCell ref="A2:E2"/>
    <mergeCell ref="A3:E3"/>
    <mergeCell ref="A4:B4"/>
    <mergeCell ref="A5:A6"/>
    <mergeCell ref="B5:B6"/>
    <mergeCell ref="C5:C6"/>
    <mergeCell ref="D5:D6"/>
  </mergeCells>
  <pageMargins left="0.7" right="0.7" top="0.75" bottom="0.75" header="0.3" footer="0.3"/>
  <pageSetup paperSize="9"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ACFD-9435-43A6-947C-6B271E9F5544}">
  <sheetPr>
    <tabColor rgb="FF92D050"/>
  </sheetPr>
  <dimension ref="A1:H19"/>
  <sheetViews>
    <sheetView zoomScaleNormal="100" workbookViewId="0">
      <selection activeCell="D10" sqref="D10:E13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5" width="9.42578125" style="28" bestFit="1" customWidth="1"/>
    <col min="6" max="6" width="13.5703125" style="37" customWidth="1"/>
    <col min="7" max="7" width="17.5703125" style="47" customWidth="1"/>
    <col min="8" max="8" width="13.140625" style="28" bestFit="1" customWidth="1"/>
    <col min="9" max="16384" width="9.140625" style="28"/>
  </cols>
  <sheetData>
    <row r="1" spans="1:8" ht="15.7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7.5" customHeight="1">
      <c r="A2" s="198" t="s">
        <v>47</v>
      </c>
      <c r="B2" s="198"/>
      <c r="C2" s="198"/>
      <c r="D2" s="198"/>
      <c r="E2" s="198"/>
      <c r="F2" s="198"/>
      <c r="G2" s="198"/>
    </row>
    <row r="3" spans="1:8" ht="15" customHeight="1">
      <c r="A3" s="199" t="s">
        <v>48</v>
      </c>
      <c r="B3" s="199"/>
      <c r="C3" s="199"/>
      <c r="D3" s="199"/>
      <c r="E3" s="199"/>
      <c r="F3" s="199"/>
      <c r="G3" s="199"/>
    </row>
    <row r="4" spans="1:8" ht="19.5" customHeight="1">
      <c r="A4" s="205" t="s">
        <v>115</v>
      </c>
      <c r="B4" s="205"/>
      <c r="C4" s="2"/>
      <c r="D4" s="2"/>
      <c r="E4" s="2"/>
      <c r="F4" s="2"/>
      <c r="G4" s="2"/>
    </row>
    <row r="5" spans="1:8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8" s="29" customFormat="1" ht="15.75" customHeight="1">
      <c r="A6" s="202"/>
      <c r="B6" s="202"/>
      <c r="C6" s="202"/>
      <c r="D6" s="202"/>
      <c r="E6" s="202"/>
      <c r="F6" s="202"/>
      <c r="G6" s="204"/>
    </row>
    <row r="7" spans="1:8" ht="15.75">
      <c r="A7" s="30">
        <v>1</v>
      </c>
      <c r="B7" s="31" t="s">
        <v>188</v>
      </c>
      <c r="C7" s="32"/>
      <c r="D7" s="32"/>
      <c r="E7" s="32"/>
      <c r="F7" s="33"/>
      <c r="G7" s="34"/>
    </row>
    <row r="8" spans="1:8" s="37" customFormat="1" ht="16.5" customHeight="1">
      <c r="A8" s="33"/>
      <c r="B8" s="35" t="s">
        <v>24</v>
      </c>
      <c r="C8" s="33" t="s">
        <v>0</v>
      </c>
      <c r="D8" s="92">
        <v>7.8</v>
      </c>
      <c r="E8" s="92">
        <v>43.7</v>
      </c>
      <c r="F8" s="83">
        <f t="shared" ref="F8:F13" si="0">D8+E8</f>
        <v>51.5</v>
      </c>
      <c r="G8" s="206" t="s">
        <v>114</v>
      </c>
      <c r="H8" s="36">
        <f>SUM(F10:F13)</f>
        <v>8.9521789499999986</v>
      </c>
    </row>
    <row r="9" spans="1:8" s="37" customFormat="1" ht="16.5" customHeight="1">
      <c r="A9" s="33"/>
      <c r="B9" s="35" t="s">
        <v>168</v>
      </c>
      <c r="C9" s="33" t="s">
        <v>0</v>
      </c>
      <c r="D9" s="92">
        <v>8.1999999999999993</v>
      </c>
      <c r="E9" s="92">
        <v>30.9</v>
      </c>
      <c r="F9" s="83">
        <f t="shared" si="0"/>
        <v>39.099999999999994</v>
      </c>
      <c r="G9" s="207"/>
      <c r="H9" s="36"/>
    </row>
    <row r="10" spans="1:8" s="37" customFormat="1" ht="16.5" customHeight="1">
      <c r="A10" s="33"/>
      <c r="B10" s="38" t="s">
        <v>21</v>
      </c>
      <c r="C10" s="32" t="s">
        <v>7</v>
      </c>
      <c r="D10" s="93">
        <f>91.8*0.222/1000</f>
        <v>2.0379600000000001E-2</v>
      </c>
      <c r="E10" s="93">
        <f>1090.8*0.222/1000</f>
        <v>0.2421576</v>
      </c>
      <c r="F10" s="84">
        <f t="shared" si="0"/>
        <v>0.26253720000000003</v>
      </c>
      <c r="G10" s="207"/>
      <c r="H10" s="37">
        <f>H8/(F8+F9)</f>
        <v>9.8809922185430457E-2</v>
      </c>
    </row>
    <row r="11" spans="1:8" s="37" customFormat="1" ht="16.5" customHeight="1">
      <c r="A11" s="33"/>
      <c r="B11" s="38" t="s">
        <v>19</v>
      </c>
      <c r="C11" s="32" t="s">
        <v>7</v>
      </c>
      <c r="D11" s="84">
        <f>(532.3+1.09*89+1077.8)*0.395/1000</f>
        <v>0.67430844999999995</v>
      </c>
      <c r="E11" s="84">
        <f>(1618.2+1.21*340+4052.1)*0.395/1000</f>
        <v>2.4022714999999999</v>
      </c>
      <c r="F11" s="84">
        <f t="shared" si="0"/>
        <v>3.0765799499999997</v>
      </c>
      <c r="G11" s="207"/>
    </row>
    <row r="12" spans="1:8" s="37" customFormat="1" ht="16.5" customHeight="1">
      <c r="A12" s="33"/>
      <c r="B12" s="38" t="s">
        <v>20</v>
      </c>
      <c r="C12" s="32" t="s">
        <v>7</v>
      </c>
      <c r="D12" s="84">
        <f>(561.1+778.8)*0.888/1000</f>
        <v>1.1898312</v>
      </c>
      <c r="E12" s="84">
        <f>(1656.6+2440.8)*0.888/1000</f>
        <v>3.6384911999999998</v>
      </c>
      <c r="F12" s="84">
        <f t="shared" si="0"/>
        <v>4.8283223999999993</v>
      </c>
      <c r="G12" s="207"/>
    </row>
    <row r="13" spans="1:8" s="37" customFormat="1" ht="16.5" customHeight="1">
      <c r="A13" s="33"/>
      <c r="B13" s="38" t="s">
        <v>17</v>
      </c>
      <c r="C13" s="32" t="s">
        <v>7</v>
      </c>
      <c r="D13" s="84">
        <f>0*1.578/1000</f>
        <v>0</v>
      </c>
      <c r="E13" s="84">
        <f>497.3*1.578/1000</f>
        <v>0.78473940000000009</v>
      </c>
      <c r="F13" s="84">
        <f t="shared" si="0"/>
        <v>0.78473940000000009</v>
      </c>
      <c r="G13" s="207"/>
    </row>
    <row r="14" spans="1:8" ht="15.75">
      <c r="A14" s="30">
        <v>2</v>
      </c>
      <c r="B14" s="31" t="s">
        <v>111</v>
      </c>
      <c r="C14" s="32"/>
      <c r="D14" s="32"/>
      <c r="E14" s="32"/>
      <c r="F14" s="32"/>
      <c r="G14" s="45"/>
    </row>
    <row r="15" spans="1:8">
      <c r="A15" s="32"/>
      <c r="B15" s="38" t="s">
        <v>112</v>
      </c>
      <c r="C15" s="32" t="s">
        <v>0</v>
      </c>
      <c r="D15" s="209">
        <v>2.6</v>
      </c>
      <c r="E15" s="210"/>
      <c r="F15" s="84">
        <f>D15+E15</f>
        <v>2.6</v>
      </c>
      <c r="G15" s="45"/>
    </row>
    <row r="18" spans="1:7" ht="27" customHeight="1">
      <c r="A18" s="203" t="s">
        <v>143</v>
      </c>
      <c r="B18" s="203"/>
      <c r="C18" s="203"/>
      <c r="D18" s="203"/>
      <c r="E18" s="203"/>
      <c r="F18" s="203"/>
      <c r="G18" s="203"/>
    </row>
    <row r="19" spans="1:7">
      <c r="G19" s="48">
        <v>46272</v>
      </c>
    </row>
  </sheetData>
  <mergeCells count="14">
    <mergeCell ref="G5:G6"/>
    <mergeCell ref="G8:G13"/>
    <mergeCell ref="D15:E15"/>
    <mergeCell ref="A18:G18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D74D-A567-4162-9739-B62EF2DB71F8}">
  <sheetPr>
    <tabColor rgb="FF92D050"/>
  </sheetPr>
  <dimension ref="A1:G25"/>
  <sheetViews>
    <sheetView zoomScaleNormal="100" workbookViewId="0">
      <selection activeCell="G52" sqref="G52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4" width="13.5703125" style="37" customWidth="1"/>
    <col min="5" max="5" width="23.42578125" style="47" customWidth="1"/>
    <col min="6" max="9" width="9.140625" style="28"/>
    <col min="10" max="10" width="11.85546875" style="28" bestFit="1" customWidth="1"/>
    <col min="11" max="11" width="9.140625" style="28"/>
    <col min="12" max="12" width="11.85546875" style="28" bestFit="1" customWidth="1"/>
    <col min="13" max="16384" width="9.140625" style="28"/>
  </cols>
  <sheetData>
    <row r="1" spans="1:7" ht="15.75" customHeight="1">
      <c r="A1" s="198" t="s">
        <v>49</v>
      </c>
      <c r="B1" s="198"/>
      <c r="C1" s="198"/>
      <c r="D1" s="198"/>
      <c r="E1" s="198"/>
      <c r="F1" s="80"/>
      <c r="G1" s="80"/>
    </row>
    <row r="2" spans="1:7" ht="37.5" customHeight="1">
      <c r="A2" s="198" t="s">
        <v>47</v>
      </c>
      <c r="B2" s="198"/>
      <c r="C2" s="198"/>
      <c r="D2" s="198"/>
      <c r="E2" s="198"/>
      <c r="F2" s="80"/>
      <c r="G2" s="80"/>
    </row>
    <row r="3" spans="1:7" ht="15" customHeight="1">
      <c r="A3" s="199" t="s">
        <v>48</v>
      </c>
      <c r="B3" s="199"/>
      <c r="C3" s="199"/>
      <c r="D3" s="199"/>
      <c r="E3" s="199"/>
      <c r="F3" s="81"/>
      <c r="G3" s="81"/>
    </row>
    <row r="4" spans="1:7" ht="19.5" customHeight="1">
      <c r="A4" s="205" t="s">
        <v>115</v>
      </c>
      <c r="B4" s="205"/>
      <c r="C4" s="2"/>
      <c r="D4" s="2"/>
      <c r="E4" s="2"/>
      <c r="F4" s="2"/>
      <c r="G4" s="2"/>
    </row>
    <row r="5" spans="1:7" s="29" customFormat="1" ht="15.75" customHeight="1">
      <c r="A5" s="201" t="s">
        <v>14</v>
      </c>
      <c r="B5" s="201" t="s">
        <v>15</v>
      </c>
      <c r="C5" s="201" t="s">
        <v>4</v>
      </c>
      <c r="D5" s="201" t="s">
        <v>16</v>
      </c>
      <c r="E5" s="204" t="s">
        <v>10</v>
      </c>
    </row>
    <row r="6" spans="1:7" s="29" customFormat="1" ht="15.75" customHeight="1">
      <c r="A6" s="202"/>
      <c r="B6" s="202"/>
      <c r="C6" s="202"/>
      <c r="D6" s="202"/>
      <c r="E6" s="204"/>
    </row>
    <row r="7" spans="1:7" ht="15.75">
      <c r="A7" s="117">
        <v>1</v>
      </c>
      <c r="B7" s="118" t="s">
        <v>190</v>
      </c>
      <c r="C7" s="32"/>
      <c r="D7" s="33"/>
      <c r="E7" s="34"/>
    </row>
    <row r="8" spans="1:7" s="37" customFormat="1" ht="20.25" customHeight="1">
      <c r="A8" s="123"/>
      <c r="B8" s="38" t="s">
        <v>191</v>
      </c>
      <c r="C8" s="32" t="s">
        <v>189</v>
      </c>
      <c r="D8" s="125">
        <v>19</v>
      </c>
      <c r="E8" s="124"/>
    </row>
    <row r="9" spans="1:7" ht="15.75">
      <c r="A9" s="119">
        <v>2</v>
      </c>
      <c r="B9" s="120" t="s">
        <v>192</v>
      </c>
      <c r="C9" s="32"/>
      <c r="D9" s="92"/>
      <c r="E9" s="34"/>
    </row>
    <row r="10" spans="1:7" ht="21" customHeight="1">
      <c r="A10" s="32"/>
      <c r="B10" s="38" t="s">
        <v>193</v>
      </c>
      <c r="C10" s="32" t="s">
        <v>41</v>
      </c>
      <c r="D10" s="126">
        <v>12</v>
      </c>
      <c r="E10" s="211" t="s">
        <v>201</v>
      </c>
    </row>
    <row r="11" spans="1:7" ht="21" customHeight="1">
      <c r="A11" s="32"/>
      <c r="B11" s="38" t="s">
        <v>194</v>
      </c>
      <c r="C11" s="32" t="s">
        <v>41</v>
      </c>
      <c r="D11" s="126">
        <v>48</v>
      </c>
      <c r="E11" s="212"/>
    </row>
    <row r="12" spans="1:7" ht="21" customHeight="1">
      <c r="A12" s="32"/>
      <c r="B12" s="38" t="s">
        <v>195</v>
      </c>
      <c r="C12" s="32" t="s">
        <v>41</v>
      </c>
      <c r="D12" s="126">
        <v>12</v>
      </c>
      <c r="E12" s="212"/>
    </row>
    <row r="13" spans="1:7" ht="21" customHeight="1">
      <c r="A13" s="32"/>
      <c r="B13" s="38" t="s">
        <v>196</v>
      </c>
      <c r="C13" s="32" t="s">
        <v>41</v>
      </c>
      <c r="D13" s="126">
        <v>36</v>
      </c>
      <c r="E13" s="212"/>
    </row>
    <row r="14" spans="1:7" ht="21" customHeight="1">
      <c r="A14" s="32"/>
      <c r="B14" s="38" t="s">
        <v>197</v>
      </c>
      <c r="C14" s="32" t="s">
        <v>41</v>
      </c>
      <c r="D14" s="126">
        <v>36</v>
      </c>
      <c r="E14" s="212"/>
    </row>
    <row r="15" spans="1:7" ht="21" customHeight="1">
      <c r="A15" s="32"/>
      <c r="B15" s="38" t="s">
        <v>198</v>
      </c>
      <c r="C15" s="32" t="s">
        <v>41</v>
      </c>
      <c r="D15" s="126">
        <v>24</v>
      </c>
      <c r="E15" s="212"/>
    </row>
    <row r="16" spans="1:7" ht="21" customHeight="1">
      <c r="A16" s="32"/>
      <c r="B16" s="38" t="s">
        <v>199</v>
      </c>
      <c r="C16" s="32" t="s">
        <v>41</v>
      </c>
      <c r="D16" s="126">
        <v>12</v>
      </c>
      <c r="E16" s="212"/>
    </row>
    <row r="17" spans="1:7">
      <c r="A17" s="32"/>
      <c r="B17" s="38" t="s">
        <v>200</v>
      </c>
      <c r="C17" s="32" t="s">
        <v>41</v>
      </c>
      <c r="D17" s="126">
        <v>12</v>
      </c>
      <c r="E17" s="213"/>
    </row>
    <row r="18" spans="1:7" s="37" customFormat="1" hidden="1">
      <c r="A18" s="28"/>
      <c r="B18" s="46"/>
      <c r="C18" s="28"/>
      <c r="D18" s="41"/>
      <c r="E18" s="121"/>
    </row>
    <row r="19" spans="1:7" ht="15" hidden="1" customHeight="1">
      <c r="A19" s="122" t="s">
        <v>143</v>
      </c>
      <c r="B19" s="122"/>
      <c r="C19" s="122"/>
      <c r="D19" s="122"/>
      <c r="E19" s="122"/>
      <c r="F19" s="122"/>
      <c r="G19" s="122"/>
    </row>
    <row r="20" spans="1:7" ht="15.75">
      <c r="B20" s="120" t="s">
        <v>268</v>
      </c>
      <c r="D20" s="28"/>
      <c r="E20" s="48">
        <v>46272</v>
      </c>
      <c r="F20" s="37"/>
    </row>
    <row r="21" spans="1:7">
      <c r="B21" s="38" t="s">
        <v>236</v>
      </c>
    </row>
    <row r="22" spans="1:7">
      <c r="B22" s="38" t="s">
        <v>237</v>
      </c>
    </row>
    <row r="23" spans="1:7">
      <c r="B23" s="38" t="s">
        <v>253</v>
      </c>
    </row>
    <row r="24" spans="1:7">
      <c r="B24" s="38" t="s">
        <v>252</v>
      </c>
    </row>
    <row r="25" spans="1:7">
      <c r="B25" s="38" t="s">
        <v>238</v>
      </c>
    </row>
  </sheetData>
  <mergeCells count="10">
    <mergeCell ref="A4:B4"/>
    <mergeCell ref="A3:E3"/>
    <mergeCell ref="E10:E17"/>
    <mergeCell ref="A1:E1"/>
    <mergeCell ref="A2:E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1" orientation="portrait" r:id="rId1"/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U63"/>
  <sheetViews>
    <sheetView topLeftCell="A7" zoomScaleNormal="100" workbookViewId="0">
      <selection activeCell="E55" sqref="E55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6" width="10" style="37" customWidth="1"/>
    <col min="7" max="7" width="10.85546875" style="37" customWidth="1"/>
    <col min="8" max="12" width="10" style="37" customWidth="1"/>
    <col min="13" max="13" width="11.7109375" style="47" customWidth="1"/>
    <col min="14" max="17" width="10.140625" style="28" customWidth="1"/>
    <col min="18" max="18" width="11" style="28" customWidth="1"/>
    <col min="19" max="19" width="11.7109375" style="28" customWidth="1"/>
    <col min="20" max="20" width="10.85546875" style="28" customWidth="1"/>
    <col min="21" max="16384" width="9.140625" style="28"/>
  </cols>
  <sheetData>
    <row r="1" spans="1:14" ht="15.75" customHeight="1">
      <c r="A1" s="198" t="s">
        <v>49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80"/>
    </row>
    <row r="2" spans="1:14" ht="37.5" customHeight="1">
      <c r="A2" s="198" t="s">
        <v>47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80"/>
    </row>
    <row r="3" spans="1:14" ht="15" customHeight="1">
      <c r="A3" s="199" t="s">
        <v>48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81"/>
    </row>
    <row r="4" spans="1:14" ht="19.5" customHeight="1">
      <c r="A4" s="205" t="s">
        <v>115</v>
      </c>
      <c r="B4" s="20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29" customFormat="1" ht="15.75" customHeight="1">
      <c r="A5" s="201" t="s">
        <v>14</v>
      </c>
      <c r="B5" s="201" t="s">
        <v>15</v>
      </c>
      <c r="C5" s="201" t="s">
        <v>4</v>
      </c>
      <c r="D5" s="201" t="s">
        <v>202</v>
      </c>
      <c r="E5" s="201" t="s">
        <v>203</v>
      </c>
      <c r="F5" s="201" t="s">
        <v>204</v>
      </c>
      <c r="G5" s="201" t="s">
        <v>218</v>
      </c>
      <c r="H5" s="201" t="s">
        <v>205</v>
      </c>
      <c r="I5" s="201" t="s">
        <v>206</v>
      </c>
      <c r="J5" s="201" t="s">
        <v>220</v>
      </c>
      <c r="K5" s="201" t="s">
        <v>207</v>
      </c>
      <c r="L5" s="232" t="s">
        <v>40</v>
      </c>
      <c r="M5" s="204" t="s">
        <v>10</v>
      </c>
    </row>
    <row r="6" spans="1:14" s="29" customFormat="1" ht="15.75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33"/>
      <c r="M6" s="204"/>
    </row>
    <row r="7" spans="1:14" ht="15.75">
      <c r="A7" s="30"/>
      <c r="B7" s="31" t="s">
        <v>208</v>
      </c>
      <c r="C7" s="32"/>
      <c r="D7" s="39"/>
      <c r="E7" s="39"/>
      <c r="F7" s="39"/>
      <c r="G7" s="39"/>
      <c r="H7" s="39"/>
      <c r="I7" s="39"/>
      <c r="J7" s="39"/>
      <c r="K7" s="39"/>
      <c r="L7" s="39"/>
      <c r="M7" s="34"/>
    </row>
    <row r="8" spans="1:14" s="37" customFormat="1" ht="16.5" customHeight="1">
      <c r="A8" s="32"/>
      <c r="B8" s="35" t="s">
        <v>217</v>
      </c>
      <c r="C8" s="33" t="s">
        <v>0</v>
      </c>
      <c r="D8" s="94">
        <v>1.4</v>
      </c>
      <c r="E8" s="94"/>
      <c r="F8" s="94">
        <v>1.47</v>
      </c>
      <c r="G8" s="94">
        <v>1.88</v>
      </c>
      <c r="H8" s="94"/>
      <c r="I8" s="94"/>
      <c r="J8" s="94">
        <v>1.33</v>
      </c>
      <c r="K8" s="94"/>
      <c r="L8" s="94">
        <f>SUM(D8:K8)</f>
        <v>6.08</v>
      </c>
      <c r="M8" s="34"/>
    </row>
    <row r="9" spans="1:14" s="37" customFormat="1" ht="16.5" customHeight="1">
      <c r="A9" s="32"/>
      <c r="B9" s="35" t="s">
        <v>24</v>
      </c>
      <c r="C9" s="33" t="s">
        <v>0</v>
      </c>
      <c r="D9" s="94"/>
      <c r="E9" s="94">
        <v>1.54</v>
      </c>
      <c r="F9" s="94"/>
      <c r="G9" s="94"/>
      <c r="H9" s="94">
        <v>1.64</v>
      </c>
      <c r="I9" s="94">
        <v>2.95</v>
      </c>
      <c r="J9" s="94"/>
      <c r="K9" s="94">
        <v>1.25</v>
      </c>
      <c r="L9" s="94">
        <f>SUM(D9:K9)</f>
        <v>7.38</v>
      </c>
      <c r="M9" s="34"/>
    </row>
    <row r="10" spans="1:14" s="37" customFormat="1" ht="16.5" customHeight="1">
      <c r="A10" s="32"/>
      <c r="B10" s="38" t="s">
        <v>20</v>
      </c>
      <c r="C10" s="32" t="s">
        <v>7</v>
      </c>
      <c r="D10" s="91">
        <f>5.6*0.888/1000</f>
        <v>4.9727999999999994E-3</v>
      </c>
      <c r="E10" s="91">
        <f>101.6*0.888/1000</f>
        <v>9.0220800000000004E-2</v>
      </c>
      <c r="F10" s="91">
        <f>(2.57*6+1.87*6)*0.888/1000</f>
        <v>2.3656320000000002E-2</v>
      </c>
      <c r="G10" s="91">
        <f>(1.23*7+1.95*7)*0.888/1000</f>
        <v>1.9766879999999997E-2</v>
      </c>
      <c r="H10" s="91"/>
      <c r="I10" s="91">
        <f>(20)*0.888/1000</f>
        <v>1.7760000000000001E-2</v>
      </c>
      <c r="J10" s="91">
        <f>(1.65*5+2.13*5)*0.888/1000</f>
        <v>1.6783199999999998E-2</v>
      </c>
      <c r="K10" s="91">
        <f>5*0.888/1000</f>
        <v>4.4400000000000004E-3</v>
      </c>
      <c r="L10" s="129">
        <f t="shared" ref="L10:L15" si="0">SUM(D10:K10)</f>
        <v>0.17759999999999998</v>
      </c>
      <c r="M10" s="34"/>
    </row>
    <row r="11" spans="1:14" s="37" customFormat="1" ht="16.5" customHeight="1">
      <c r="A11" s="32"/>
      <c r="B11" s="38" t="s">
        <v>18</v>
      </c>
      <c r="C11" s="32" t="s">
        <v>7</v>
      </c>
      <c r="D11" s="91">
        <f>23.1*0.617/1000</f>
        <v>1.42527E-2</v>
      </c>
      <c r="E11" s="91">
        <f>10.8*0.617/1000</f>
        <v>6.6636000000000004E-3</v>
      </c>
      <c r="F11" s="91">
        <f>(12.7+3.46*6)*0.617/1000</f>
        <v>2.0644819999999994E-2</v>
      </c>
      <c r="G11" s="91">
        <f>(4.52*7)*0.617/1000</f>
        <v>1.9521879999999998E-2</v>
      </c>
      <c r="H11" s="91"/>
      <c r="I11" s="91">
        <f>(5.4+1.65*14+2.12*7+1.73*7+1.77*7+4.33*7)*0.617/1000</f>
        <v>6.0558550000000003E-2</v>
      </c>
      <c r="J11" s="91">
        <f>(9+3.78*5)*0.617/1000</f>
        <v>1.7214299999999998E-2</v>
      </c>
      <c r="K11" s="91">
        <f>(6.2+2.14*5+1.82*7+3.68*7+3.74*7)*0.617/1000</f>
        <v>5.0334860000000009E-2</v>
      </c>
      <c r="L11" s="129">
        <f t="shared" si="0"/>
        <v>0.18919070999999998</v>
      </c>
      <c r="M11" s="34"/>
    </row>
    <row r="12" spans="1:14" s="37" customFormat="1" ht="16.5" customHeight="1">
      <c r="A12" s="71"/>
      <c r="B12" s="38" t="s">
        <v>19</v>
      </c>
      <c r="C12" s="32" t="s">
        <v>7</v>
      </c>
      <c r="D12" s="130">
        <f>(89.9+0.9*8+0.63*8+0.86*56)*0.395/1000</f>
        <v>5.9368500000000005E-2</v>
      </c>
      <c r="E12" s="130">
        <f>(40+0.64*7+0.78*21+0.97*70.81*12)*0.395/1000</f>
        <v>0.34960991800000002</v>
      </c>
      <c r="F12" s="130">
        <f>(81.9+0.84*54)*0.395/1000</f>
        <v>5.0267700000000005E-2</v>
      </c>
      <c r="G12" s="130">
        <f>(113.4+0.84*84)*0.395/1000</f>
        <v>7.2664200000000012E-2</v>
      </c>
      <c r="H12" s="130">
        <f>(12+0.84*7+0.66*7+1.88*7+2.77*7)*0.395/1000</f>
        <v>2.174475E-2</v>
      </c>
      <c r="I12" s="130">
        <f>(153.2+0.66*7+0.84*84+1.15*7+1.43*7)*0.395/1000</f>
        <v>9.7343800000000008E-2</v>
      </c>
      <c r="J12" s="130">
        <f>(76.1+0.84*50)*0.395/1000</f>
        <v>4.6649500000000003E-2</v>
      </c>
      <c r="K12" s="130">
        <f>(59.6+0.66*7+0.84*28)*0.395/1000</f>
        <v>3.4657300000000002E-2</v>
      </c>
      <c r="L12" s="129">
        <f t="shared" si="0"/>
        <v>0.73230566799999997</v>
      </c>
      <c r="M12" s="34"/>
    </row>
    <row r="13" spans="1:14" s="37" customFormat="1" ht="16.5" customHeight="1">
      <c r="A13" s="71"/>
      <c r="B13" s="38" t="s">
        <v>219</v>
      </c>
      <c r="C13" s="32" t="s">
        <v>7</v>
      </c>
      <c r="D13" s="130"/>
      <c r="E13" s="130"/>
      <c r="F13" s="130"/>
      <c r="G13" s="130"/>
      <c r="H13" s="130"/>
      <c r="I13" s="91">
        <f>(1.37*7+1.51*7)*0.617/1000</f>
        <v>1.243872E-2</v>
      </c>
      <c r="J13" s="130"/>
      <c r="K13" s="130"/>
      <c r="L13" s="129">
        <f t="shared" si="0"/>
        <v>1.243872E-2</v>
      </c>
      <c r="M13" s="34"/>
    </row>
    <row r="14" spans="1:14" s="37" customFormat="1" ht="16.5" customHeight="1">
      <c r="A14" s="71"/>
      <c r="B14" s="38" t="s">
        <v>23</v>
      </c>
      <c r="C14" s="32" t="s">
        <v>7</v>
      </c>
      <c r="D14" s="130">
        <f>1.27*8*0.395/1000</f>
        <v>4.0132000000000006E-3</v>
      </c>
      <c r="E14" s="130">
        <f>(1.53*8+0.3*81)*0.395/1000</f>
        <v>1.4433300000000001E-2</v>
      </c>
      <c r="F14" s="130">
        <f>(1.35*6+1.41*6+0.35*36)*0.395/1000</f>
        <v>1.1518200000000003E-2</v>
      </c>
      <c r="G14" s="130">
        <f>(1.49*7+1.55*7+0.35*21)*0.395/1000</f>
        <v>1.1308850000000002E-2</v>
      </c>
      <c r="H14" s="130"/>
      <c r="I14" s="130">
        <f>(1.31*7+0.31*42+0.36*21)*0.395/1000</f>
        <v>1.175125E-2</v>
      </c>
      <c r="J14" s="130">
        <f>(1.45*5+1.53*5+0.35*25)*0.395/1000</f>
        <v>9.3417499999999994E-3</v>
      </c>
      <c r="K14" s="130">
        <f>0.31*20*0.395/1000</f>
        <v>2.4490000000000002E-3</v>
      </c>
      <c r="L14" s="129">
        <f t="shared" si="0"/>
        <v>6.4815550000000013E-2</v>
      </c>
      <c r="M14" s="34"/>
    </row>
    <row r="15" spans="1:14" s="37" customFormat="1" ht="16.5" customHeight="1" thickBot="1">
      <c r="A15" s="150"/>
      <c r="B15" s="151" t="s">
        <v>216</v>
      </c>
      <c r="C15" s="150" t="s">
        <v>0</v>
      </c>
      <c r="D15" s="152">
        <v>4.34</v>
      </c>
      <c r="E15" s="152"/>
      <c r="F15" s="152">
        <v>11.9</v>
      </c>
      <c r="G15" s="152">
        <v>7.5</v>
      </c>
      <c r="H15" s="152"/>
      <c r="I15" s="152">
        <v>18.71</v>
      </c>
      <c r="J15" s="152">
        <v>9.1</v>
      </c>
      <c r="K15" s="152"/>
      <c r="L15" s="153">
        <f t="shared" si="0"/>
        <v>51.550000000000004</v>
      </c>
      <c r="M15" s="154"/>
    </row>
    <row r="16" spans="1:14" s="37" customFormat="1" ht="8.25" customHeight="1" thickTop="1" thickBot="1">
      <c r="A16" s="28"/>
      <c r="B16" s="46"/>
      <c r="C16" s="28"/>
      <c r="D16" s="148"/>
      <c r="E16" s="148"/>
      <c r="F16" s="148"/>
      <c r="G16" s="148"/>
      <c r="H16" s="148"/>
      <c r="I16" s="148"/>
      <c r="J16" s="148"/>
      <c r="K16" s="148"/>
      <c r="L16" s="149"/>
      <c r="M16" s="47"/>
    </row>
    <row r="17" spans="1:21" ht="29.25" customHeight="1">
      <c r="A17" s="226"/>
      <c r="B17" s="230" t="s">
        <v>209</v>
      </c>
      <c r="C17" s="228"/>
      <c r="D17" s="216" t="s">
        <v>210</v>
      </c>
      <c r="E17" s="217"/>
      <c r="F17" s="218"/>
      <c r="G17" s="216" t="s">
        <v>211</v>
      </c>
      <c r="H17" s="217"/>
      <c r="I17" s="217"/>
      <c r="J17" s="217"/>
      <c r="K17" s="218"/>
      <c r="L17" s="216" t="s">
        <v>212</v>
      </c>
      <c r="M17" s="218"/>
      <c r="N17" s="216" t="s">
        <v>213</v>
      </c>
      <c r="O17" s="217"/>
      <c r="P17" s="217"/>
      <c r="Q17" s="217"/>
      <c r="R17" s="217"/>
      <c r="S17" s="218"/>
      <c r="T17" s="173" t="s">
        <v>215</v>
      </c>
      <c r="U17" s="214" t="s">
        <v>40</v>
      </c>
    </row>
    <row r="18" spans="1:21" ht="15.75" customHeight="1">
      <c r="A18" s="227"/>
      <c r="B18" s="231"/>
      <c r="C18" s="229"/>
      <c r="D18" s="156" t="s">
        <v>221</v>
      </c>
      <c r="E18" s="157" t="s">
        <v>222</v>
      </c>
      <c r="F18" s="158" t="s">
        <v>223</v>
      </c>
      <c r="G18" s="234" t="s">
        <v>231</v>
      </c>
      <c r="H18" s="235"/>
      <c r="I18" s="157" t="s">
        <v>232</v>
      </c>
      <c r="J18" s="157" t="s">
        <v>233</v>
      </c>
      <c r="K18" s="155" t="s">
        <v>235</v>
      </c>
      <c r="L18" s="156" t="s">
        <v>239</v>
      </c>
      <c r="M18" s="155" t="s">
        <v>240</v>
      </c>
      <c r="N18" s="156" t="s">
        <v>241</v>
      </c>
      <c r="O18" s="131" t="s">
        <v>242</v>
      </c>
      <c r="P18" s="131" t="s">
        <v>243</v>
      </c>
      <c r="Q18" s="131" t="s">
        <v>244</v>
      </c>
      <c r="R18" s="131" t="s">
        <v>245</v>
      </c>
      <c r="S18" s="155" t="s">
        <v>246</v>
      </c>
      <c r="T18" s="174" t="s">
        <v>254</v>
      </c>
      <c r="U18" s="215"/>
    </row>
    <row r="19" spans="1:21">
      <c r="A19" s="32"/>
      <c r="B19" s="35" t="s">
        <v>24</v>
      </c>
      <c r="C19" s="132" t="s">
        <v>0</v>
      </c>
      <c r="D19" s="137">
        <v>2.3079999999999998</v>
      </c>
      <c r="E19" s="129">
        <f>1.635*2</f>
        <v>3.27</v>
      </c>
      <c r="F19" s="138">
        <v>2.363</v>
      </c>
      <c r="G19" s="236">
        <f>2.378*2</f>
        <v>4.7560000000000002</v>
      </c>
      <c r="H19" s="237"/>
      <c r="I19" s="129">
        <v>1.4470000000000001</v>
      </c>
      <c r="J19" s="162">
        <v>0.71499999999999997</v>
      </c>
      <c r="K19" s="138">
        <v>0.98299999999999998</v>
      </c>
      <c r="L19" s="137">
        <f>1.813*3</f>
        <v>5.4390000000000001</v>
      </c>
      <c r="M19" s="168">
        <v>2.7109999999999999</v>
      </c>
      <c r="N19" s="137">
        <v>2.8780000000000001</v>
      </c>
      <c r="O19" s="134">
        <v>1.456</v>
      </c>
      <c r="P19" s="134">
        <v>2.04</v>
      </c>
      <c r="Q19" s="134">
        <v>1.446</v>
      </c>
      <c r="R19" s="134">
        <v>1.4810000000000001</v>
      </c>
      <c r="S19" s="168">
        <v>1.456</v>
      </c>
      <c r="T19" s="175">
        <f>0.427*2</f>
        <v>0.85399999999999998</v>
      </c>
      <c r="U19" s="134">
        <f t="shared" ref="U19:U25" si="1">SUM(D19:T19)</f>
        <v>35.603000000000002</v>
      </c>
    </row>
    <row r="20" spans="1:21">
      <c r="A20" s="32"/>
      <c r="B20" s="38" t="s">
        <v>26</v>
      </c>
      <c r="C20" s="123" t="s">
        <v>7</v>
      </c>
      <c r="D20" s="139"/>
      <c r="E20" s="91"/>
      <c r="F20" s="140"/>
      <c r="G20" s="219"/>
      <c r="H20" s="220"/>
      <c r="I20" s="91"/>
      <c r="J20" s="91"/>
      <c r="K20" s="140"/>
      <c r="L20" s="139">
        <f>24.55*3.853/1000*3</f>
        <v>0.28377345000000004</v>
      </c>
      <c r="M20" s="169">
        <f>29.32*3.853/1000</f>
        <v>0.11296995999999999</v>
      </c>
      <c r="N20" s="139"/>
      <c r="O20" s="135"/>
      <c r="P20" s="135"/>
      <c r="Q20" s="135"/>
      <c r="R20" s="135"/>
      <c r="S20" s="169"/>
      <c r="T20" s="176"/>
      <c r="U20" s="134">
        <f t="shared" si="1"/>
        <v>0.39674341000000002</v>
      </c>
    </row>
    <row r="21" spans="1:21">
      <c r="A21" s="32"/>
      <c r="B21" s="38" t="s">
        <v>22</v>
      </c>
      <c r="C21" s="123" t="s">
        <v>7</v>
      </c>
      <c r="D21" s="139">
        <f>26.56*2.466/1000</f>
        <v>6.5496960000000007E-2</v>
      </c>
      <c r="E21" s="91">
        <f>21.8*2.466/1000*2</f>
        <v>0.10751760000000002</v>
      </c>
      <c r="F21" s="140">
        <f>33.3*2.466/1000</f>
        <v>8.2117800000000005E-2</v>
      </c>
      <c r="G21" s="219">
        <f>23.76*2.466/1000*2</f>
        <v>0.11718432000000001</v>
      </c>
      <c r="H21" s="220"/>
      <c r="I21" s="91">
        <f>11.7*2.466/1000</f>
        <v>2.8852200000000001E-2</v>
      </c>
      <c r="J21" s="91">
        <f>11.7*2.466/1000</f>
        <v>2.8852200000000001E-2</v>
      </c>
      <c r="K21" s="140"/>
      <c r="L21" s="139"/>
      <c r="M21" s="169"/>
      <c r="N21" s="165">
        <f>16.44*2.466/1000</f>
        <v>4.0541040000000007E-2</v>
      </c>
      <c r="O21" s="91">
        <f>20.55*2.466/1000</f>
        <v>5.0676300000000007E-2</v>
      </c>
      <c r="P21" s="91">
        <f>20.55*2.466/1000</f>
        <v>5.0676300000000007E-2</v>
      </c>
      <c r="Q21" s="91">
        <f>20.55*2.466/1000</f>
        <v>5.0676300000000007E-2</v>
      </c>
      <c r="R21" s="91">
        <f>20.55*2.466/1000</f>
        <v>5.0676300000000007E-2</v>
      </c>
      <c r="S21" s="140">
        <f>20.55*2.466/1000</f>
        <v>5.0676300000000007E-2</v>
      </c>
      <c r="T21" s="176"/>
      <c r="U21" s="134">
        <f t="shared" si="1"/>
        <v>0.72394362000000012</v>
      </c>
    </row>
    <row r="22" spans="1:21">
      <c r="A22" s="32"/>
      <c r="B22" s="38" t="s">
        <v>17</v>
      </c>
      <c r="C22" s="123" t="s">
        <v>7</v>
      </c>
      <c r="D22" s="139">
        <f>39.84*1.578/1000</f>
        <v>6.286752000000001E-2</v>
      </c>
      <c r="E22" s="91">
        <f>26.16*1.578/1000*2</f>
        <v>8.2560960000000003E-2</v>
      </c>
      <c r="F22" s="140">
        <f>39.96*1.578/1000</f>
        <v>6.305688000000001E-2</v>
      </c>
      <c r="G22" s="219"/>
      <c r="H22" s="220"/>
      <c r="I22" s="91"/>
      <c r="J22" s="91"/>
      <c r="K22" s="140">
        <f>91.5*1.578/1000</f>
        <v>0.14438699999999999</v>
      </c>
      <c r="L22" s="139">
        <f>14.73*1.578/1000*3</f>
        <v>6.973182E-2</v>
      </c>
      <c r="M22" s="169">
        <f>54.56*1.578/1000</f>
        <v>8.6095680000000008E-2</v>
      </c>
      <c r="N22" s="139"/>
      <c r="O22" s="135"/>
      <c r="P22" s="135"/>
      <c r="Q22" s="135"/>
      <c r="R22" s="135"/>
      <c r="S22" s="169"/>
      <c r="T22" s="176"/>
      <c r="U22" s="134">
        <f t="shared" si="1"/>
        <v>0.50869986</v>
      </c>
    </row>
    <row r="23" spans="1:21">
      <c r="A23" s="32"/>
      <c r="B23" s="38" t="s">
        <v>20</v>
      </c>
      <c r="C23" s="123" t="s">
        <v>7</v>
      </c>
      <c r="D23" s="139">
        <f>42.51*0.888/1000</f>
        <v>3.7748879999999999E-2</v>
      </c>
      <c r="E23" s="91">
        <f>38.08*0.888/1000*2</f>
        <v>6.7630079999999995E-2</v>
      </c>
      <c r="F23" s="140">
        <f>47.01*0.888/1000</f>
        <v>4.1744880000000005E-2</v>
      </c>
      <c r="G23" s="219">
        <f>(48.43+1.53*39)*0.888/1000*2</f>
        <v>0.19198560000000001</v>
      </c>
      <c r="H23" s="220"/>
      <c r="I23" s="91">
        <f>(73.04+1.67*40)*0.888/1000</f>
        <v>0.12417792</v>
      </c>
      <c r="J23" s="91">
        <f>(64.52+1.67*22)*0.888/1000</f>
        <v>8.9918879999999993E-2</v>
      </c>
      <c r="K23" s="141"/>
      <c r="L23" s="139">
        <f>63.1*0.888/1000*3</f>
        <v>0.16809840000000001</v>
      </c>
      <c r="M23" s="169">
        <f>90.83*0.888/1000</f>
        <v>8.0657039999999999E-2</v>
      </c>
      <c r="N23" s="139">
        <f>100.58*0.888/1000</f>
        <v>8.9315039999999998E-2</v>
      </c>
      <c r="O23" s="135">
        <f>60.05*0.888/1000</f>
        <v>5.3324399999999994E-2</v>
      </c>
      <c r="P23" s="135">
        <f>79.8*0.888/1000</f>
        <v>7.0862399999999992E-2</v>
      </c>
      <c r="Q23" s="135">
        <f>60.05*0.888/1000</f>
        <v>5.3324399999999994E-2</v>
      </c>
      <c r="R23" s="135">
        <f>60.67*0.888/1000</f>
        <v>5.387496E-2</v>
      </c>
      <c r="S23" s="169">
        <f>67.47*0.888/1000</f>
        <v>5.9913359999999999E-2</v>
      </c>
      <c r="T23" s="176">
        <f>17.3*0.888/1000*2</f>
        <v>3.0724800000000003E-2</v>
      </c>
      <c r="U23" s="134">
        <f t="shared" si="1"/>
        <v>1.2133010399999997</v>
      </c>
    </row>
    <row r="24" spans="1:21">
      <c r="A24" s="32"/>
      <c r="B24" s="38" t="s">
        <v>19</v>
      </c>
      <c r="C24" s="123" t="s">
        <v>7</v>
      </c>
      <c r="D24" s="139">
        <f>162.07*0.395/1000</f>
        <v>6.4017650000000009E-2</v>
      </c>
      <c r="E24" s="91">
        <f>125.1*0.395/1000*2</f>
        <v>9.8829E-2</v>
      </c>
      <c r="F24" s="140">
        <f>166.36*0.395/1000</f>
        <v>6.5712200000000012E-2</v>
      </c>
      <c r="G24" s="219">
        <f>166.82*0.395/1000*2</f>
        <v>0.13178780000000001</v>
      </c>
      <c r="H24" s="220"/>
      <c r="I24" s="91">
        <f>3.46*0.395/1000</f>
        <v>1.3667E-3</v>
      </c>
      <c r="J24" s="91"/>
      <c r="K24" s="141"/>
      <c r="L24" s="139">
        <f>92.56*0.395/1000*3</f>
        <v>0.10968360000000001</v>
      </c>
      <c r="M24" s="169">
        <f>141.49*0.395/1000</f>
        <v>5.5888550000000009E-2</v>
      </c>
      <c r="N24" s="139">
        <f>162*0.395/1000</f>
        <v>6.3990000000000005E-2</v>
      </c>
      <c r="O24" s="135">
        <f>118.75*0.395/1000</f>
        <v>4.6906249999999997E-2</v>
      </c>
      <c r="P24" s="135">
        <f>174.37*0.395/1000</f>
        <v>6.8876150000000011E-2</v>
      </c>
      <c r="Q24" s="135">
        <f>123.45*0.395/1000</f>
        <v>4.8762750000000007E-2</v>
      </c>
      <c r="R24" s="135">
        <f>140.09*0.395/1000</f>
        <v>5.5335550000000004E-2</v>
      </c>
      <c r="S24" s="169">
        <f>127.37*0.395/1000</f>
        <v>5.0311150000000006E-2</v>
      </c>
      <c r="T24" s="176">
        <f>48.3*0.395/1000*2</f>
        <v>3.8156999999999996E-2</v>
      </c>
      <c r="U24" s="134">
        <f t="shared" si="1"/>
        <v>0.89962435000000007</v>
      </c>
    </row>
    <row r="25" spans="1:21">
      <c r="A25" s="32"/>
      <c r="B25" s="38" t="s">
        <v>23</v>
      </c>
      <c r="C25" s="123" t="s">
        <v>7</v>
      </c>
      <c r="D25" s="139">
        <f>(1.21*34+0.53*54+1.27*24)*0.395/1000</f>
        <v>3.9594800000000006E-2</v>
      </c>
      <c r="E25" s="91">
        <f>(1.18*34+1.17*24)*0.395/1000*2</f>
        <v>5.3877999999999995E-2</v>
      </c>
      <c r="F25" s="140">
        <f>(1.21*17+0.68*51+1.27*24)*0.395/1000</f>
        <v>3.3863350000000007E-2</v>
      </c>
      <c r="G25" s="219">
        <f>(1.16*10+0.74*23+0.74*10+1.53*13)*0.395/1000*2</f>
        <v>4.4168900000000004E-2</v>
      </c>
      <c r="H25" s="220"/>
      <c r="I25" s="91">
        <f>(0.64*9+1.16*9+0.85*9+0.81*9+1.61*3+1.77*9+1.17*9+1.07*9+1.71*3)*0.395/1000</f>
        <v>3.0490050000000001E-2</v>
      </c>
      <c r="J25" s="91">
        <f>(0.64*9+0.85*9+0.81*9+1.61*3+1.07*9+1.71*3)*0.395/1000</f>
        <v>1.5914550000000003E-2</v>
      </c>
      <c r="K25" s="140">
        <f>(1.19*71)*0.395/1000</f>
        <v>3.3373550000000002E-2</v>
      </c>
      <c r="L25" s="139">
        <f>(1.21*36+1.27*5+1.27*12)*0.395/1000*3</f>
        <v>7.7202750000000014E-2</v>
      </c>
      <c r="M25" s="169">
        <f>(1.21*18+0.53*64+1.27*16+1.27*24)*0.395/1000</f>
        <v>4.2067500000000008E-2</v>
      </c>
      <c r="N25" s="139">
        <f>(1.18*17+0.48*27+0.87*17+1.17*48)*0.395/1000</f>
        <v>4.1068150000000005E-2</v>
      </c>
      <c r="O25" s="135">
        <f>(1.17*34+1.17*24)*0.395/1000</f>
        <v>2.6804700000000001E-2</v>
      </c>
      <c r="P25" s="135">
        <f>(1.17*34+1.17*24)*0.395/1000</f>
        <v>2.6804700000000001E-2</v>
      </c>
      <c r="Q25" s="135">
        <f>(1.17*34+1.17*24)*0.395/1000</f>
        <v>2.6804700000000001E-2</v>
      </c>
      <c r="R25" s="135">
        <f>(1.17*34+1.17*24)*0.395/1000</f>
        <v>2.6804700000000001E-2</v>
      </c>
      <c r="S25" s="169">
        <f>(1.17*34+1.17*24)*0.395/1000</f>
        <v>2.6804700000000001E-2</v>
      </c>
      <c r="T25" s="176">
        <f>1.22*36*0.395/1000*2</f>
        <v>3.46968E-2</v>
      </c>
      <c r="U25" s="134">
        <f t="shared" si="1"/>
        <v>0.58034190000000008</v>
      </c>
    </row>
    <row r="26" spans="1:21" ht="15.75">
      <c r="A26" s="32"/>
      <c r="B26" s="82" t="s">
        <v>224</v>
      </c>
      <c r="C26" s="123"/>
      <c r="D26" s="170" t="s">
        <v>225</v>
      </c>
      <c r="E26" s="171" t="s">
        <v>226</v>
      </c>
      <c r="F26" s="172" t="s">
        <v>225</v>
      </c>
      <c r="G26" s="171" t="s">
        <v>226</v>
      </c>
      <c r="H26" s="171" t="s">
        <v>234</v>
      </c>
      <c r="I26" s="171" t="s">
        <v>226</v>
      </c>
      <c r="J26" s="171" t="s">
        <v>226</v>
      </c>
      <c r="K26" s="172"/>
      <c r="L26" s="170" t="s">
        <v>225</v>
      </c>
      <c r="M26" s="172" t="s">
        <v>225</v>
      </c>
      <c r="N26" s="170" t="s">
        <v>226</v>
      </c>
      <c r="O26" s="171" t="s">
        <v>234</v>
      </c>
      <c r="P26" s="171" t="s">
        <v>226</v>
      </c>
      <c r="Q26" s="171" t="s">
        <v>234</v>
      </c>
      <c r="R26" s="171" t="s">
        <v>234</v>
      </c>
      <c r="S26" s="172" t="s">
        <v>234</v>
      </c>
      <c r="T26" s="177" t="s">
        <v>225</v>
      </c>
      <c r="U26" s="136"/>
    </row>
    <row r="27" spans="1:21" ht="15.75" thickBot="1">
      <c r="A27" s="32"/>
      <c r="B27" s="42" t="s">
        <v>69</v>
      </c>
      <c r="C27" s="133" t="s">
        <v>7</v>
      </c>
      <c r="D27" s="145">
        <f>(0.2*7+1.29*1)*0.888/1000*12</f>
        <v>2.8664639999999998E-2</v>
      </c>
      <c r="E27" s="146">
        <f>(0.2*7+1.26*1)*0.888/1000*14*2</f>
        <v>6.6138240000000015E-2</v>
      </c>
      <c r="F27" s="147">
        <f>(0.2*7+1.29*1)*0.888/1000*14</f>
        <v>3.3442079999999999E-2</v>
      </c>
      <c r="G27" s="146">
        <f>(0.2*7+1.26*1)*0.888/1000*4*2</f>
        <v>1.8896640000000003E-2</v>
      </c>
      <c r="H27" s="146">
        <f>(0.18*7+1.24*1)*0.888/1000*9*2</f>
        <v>3.9960000000000002E-2</v>
      </c>
      <c r="I27" s="146">
        <f>(0.2*7+1.26*1)*0.888/1000*4</f>
        <v>9.4483200000000014E-3</v>
      </c>
      <c r="J27" s="146">
        <f>(0.2*7+1.26*1)*0.888/1000*4</f>
        <v>9.4483200000000014E-3</v>
      </c>
      <c r="K27" s="142"/>
      <c r="L27" s="145">
        <f>(0.2*7+1.29*1)*0.888/1000*8*3</f>
        <v>5.7329279999999996E-2</v>
      </c>
      <c r="M27" s="147">
        <f>(0.2*7+1.29*1)*0.888/1000*12</f>
        <v>2.8664639999999998E-2</v>
      </c>
      <c r="N27" s="145">
        <f>(0.2*7+1.26*1)*0.888/1000*12</f>
        <v>2.8344960000000002E-2</v>
      </c>
      <c r="O27" s="146">
        <f>(0.18*7+1.24*1)*0.888/1000*14</f>
        <v>3.1080000000000003E-2</v>
      </c>
      <c r="P27" s="146">
        <f>(0.18*7+1.24*1)*0.888/1000*18</f>
        <v>3.9960000000000002E-2</v>
      </c>
      <c r="Q27" s="146">
        <f>(0.18*7+1.24*1)*0.888/1000*14</f>
        <v>3.1080000000000003E-2</v>
      </c>
      <c r="R27" s="146">
        <f>(0.18*7+1.24*1)*0.888/1000*12</f>
        <v>2.6640000000000004E-2</v>
      </c>
      <c r="S27" s="147">
        <f>(0.18*7+1.24*1)*0.888/1000*14</f>
        <v>3.1080000000000003E-2</v>
      </c>
      <c r="T27" s="179">
        <f>(0.2*7+1.29*1)*0.888/1000*8</f>
        <v>1.910976E-2</v>
      </c>
      <c r="U27" s="134">
        <f>SUM(D27:T27)</f>
        <v>0.49928687999999999</v>
      </c>
    </row>
    <row r="28" spans="1:21" ht="15.75" thickBot="1">
      <c r="A28" s="150"/>
      <c r="B28" s="159" t="s">
        <v>255</v>
      </c>
      <c r="C28" s="160" t="s">
        <v>0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>
        <v>38.380000000000003</v>
      </c>
      <c r="U28" s="153">
        <f>SUM(D28:T28)</f>
        <v>38.380000000000003</v>
      </c>
    </row>
    <row r="29" spans="1:21" ht="9.75" customHeight="1" thickTop="1" thickBot="1">
      <c r="B29" s="66"/>
      <c r="C29" s="37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47"/>
    </row>
    <row r="30" spans="1:21" ht="15" customHeight="1">
      <c r="A30" s="32"/>
      <c r="B30" s="230" t="s">
        <v>208</v>
      </c>
      <c r="C30" s="132"/>
      <c r="D30" s="216" t="s">
        <v>210</v>
      </c>
      <c r="E30" s="217"/>
      <c r="F30" s="217"/>
      <c r="G30" s="217"/>
      <c r="H30" s="221" t="s">
        <v>213</v>
      </c>
      <c r="I30" s="222"/>
      <c r="J30" s="222"/>
      <c r="K30" s="222"/>
      <c r="L30" s="223"/>
      <c r="M30" s="224" t="s">
        <v>40</v>
      </c>
    </row>
    <row r="31" spans="1:21" ht="25.5">
      <c r="A31" s="30"/>
      <c r="B31" s="231"/>
      <c r="C31" s="123"/>
      <c r="D31" s="143" t="s">
        <v>227</v>
      </c>
      <c r="E31" s="127" t="s">
        <v>228</v>
      </c>
      <c r="F31" s="127" t="s">
        <v>229</v>
      </c>
      <c r="G31" s="161" t="s">
        <v>230</v>
      </c>
      <c r="H31" s="143" t="s">
        <v>247</v>
      </c>
      <c r="I31" s="127" t="s">
        <v>248</v>
      </c>
      <c r="J31" s="127" t="s">
        <v>249</v>
      </c>
      <c r="K31" s="127" t="s">
        <v>250</v>
      </c>
      <c r="L31" s="144" t="s">
        <v>251</v>
      </c>
      <c r="M31" s="225"/>
    </row>
    <row r="32" spans="1:21">
      <c r="A32" s="32"/>
      <c r="B32" s="35" t="s">
        <v>24</v>
      </c>
      <c r="C32" s="132" t="s">
        <v>0</v>
      </c>
      <c r="D32" s="137">
        <v>1.0529999999999999</v>
      </c>
      <c r="E32" s="129">
        <f>1.488*3</f>
        <v>4.4640000000000004</v>
      </c>
      <c r="F32" s="129">
        <v>1.5669999999999999</v>
      </c>
      <c r="G32" s="162">
        <v>1.706</v>
      </c>
      <c r="H32" s="137">
        <v>0.83599999999999997</v>
      </c>
      <c r="I32" s="129">
        <v>0.94499999999999995</v>
      </c>
      <c r="J32" s="129">
        <f>1.053*3</f>
        <v>3.1589999999999998</v>
      </c>
      <c r="K32" s="129">
        <v>1.2709999999999999</v>
      </c>
      <c r="L32" s="138">
        <f>1.488*2</f>
        <v>2.976</v>
      </c>
      <c r="M32" s="129">
        <f>SUM(D32:L32)</f>
        <v>17.977</v>
      </c>
    </row>
    <row r="33" spans="1:14">
      <c r="A33" s="32"/>
      <c r="B33" s="38" t="s">
        <v>17</v>
      </c>
      <c r="C33" s="123" t="s">
        <v>7</v>
      </c>
      <c r="D33" s="139">
        <f>17.55*1.578/1000</f>
        <v>2.7693900000000004E-2</v>
      </c>
      <c r="E33" s="91">
        <f>92.79*1.578/1000*3</f>
        <v>0.43926786000000007</v>
      </c>
      <c r="F33" s="91">
        <f>74.07*1.578/1000</f>
        <v>0.11688245999999999</v>
      </c>
      <c r="G33" s="163">
        <f>98.01*1.578/1000</f>
        <v>0.15465978000000002</v>
      </c>
      <c r="H33" s="139">
        <f>17.55*1.578/1000</f>
        <v>2.7693900000000004E-2</v>
      </c>
      <c r="I33" s="91">
        <f>17.55*1.578/1000</f>
        <v>2.7693900000000004E-2</v>
      </c>
      <c r="J33" s="91">
        <f>17.55*1.578/1000*3</f>
        <v>8.3081700000000008E-2</v>
      </c>
      <c r="K33" s="91">
        <f>17.55*1.578/1000</f>
        <v>2.7693900000000004E-2</v>
      </c>
      <c r="L33" s="140">
        <f>92.79*1.578/1000*2</f>
        <v>0.29284524000000006</v>
      </c>
      <c r="M33" s="129">
        <f>SUM(D33:L33)</f>
        <v>1.1975126400000002</v>
      </c>
    </row>
    <row r="34" spans="1:14">
      <c r="A34" s="32"/>
      <c r="B34" s="38" t="s">
        <v>20</v>
      </c>
      <c r="C34" s="123" t="s">
        <v>7</v>
      </c>
      <c r="D34" s="139">
        <f>75.96*0.888/1000</f>
        <v>6.7452479999999995E-2</v>
      </c>
      <c r="E34" s="91">
        <f>13.23*0.888/1000*3</f>
        <v>3.524472E-2</v>
      </c>
      <c r="F34" s="91">
        <f>0*0.888/1000</f>
        <v>0</v>
      </c>
      <c r="G34" s="163">
        <f>13.23*0.888/1000</f>
        <v>1.174824E-2</v>
      </c>
      <c r="H34" s="139">
        <f>70.74*0.888/1000</f>
        <v>6.281711999999999E-2</v>
      </c>
      <c r="I34" s="91">
        <f>73.35*0.888/1000</f>
        <v>6.5134799999999993E-2</v>
      </c>
      <c r="J34" s="91">
        <f>75.96*0.888/1000*3</f>
        <v>0.20235744</v>
      </c>
      <c r="K34" s="91">
        <f>81.18*0.888/1000</f>
        <v>7.208784E-2</v>
      </c>
      <c r="L34" s="140">
        <f>13.23*0.888/1000*2</f>
        <v>2.349648E-2</v>
      </c>
      <c r="M34" s="129">
        <f>SUM(D34:L34)</f>
        <v>0.54033911999999995</v>
      </c>
    </row>
    <row r="35" spans="1:14" ht="15.75" thickBot="1">
      <c r="A35" s="32"/>
      <c r="B35" s="38" t="s">
        <v>19</v>
      </c>
      <c r="C35" s="123" t="s">
        <v>7</v>
      </c>
      <c r="D35" s="145">
        <f>(92.63+0.53*9+0.72*9+0.69*9+0.48*72)*0.395/1000</f>
        <v>5.7136749999999993E-2</v>
      </c>
      <c r="E35" s="146">
        <f>(129.72+0.53*9+0.72*9+0.69*9+0.48*108)*0.395/1000*3</f>
        <v>0.23583870000000004</v>
      </c>
      <c r="F35" s="146">
        <f>(136.14+0.53*9+0.72*9+0.69*9+0.48*117)*0.395/1000</f>
        <v>8.285519999999999E-2</v>
      </c>
      <c r="G35" s="164">
        <f>(144.9+0.53*9+0.72*9+0.69*9+0.48*126)*0.395/1000</f>
        <v>8.8021799999999997E-2</v>
      </c>
      <c r="H35" s="145">
        <f>(74.13+0.53*9+0.72*9+0.69*9+0.48*54)*0.395/1000</f>
        <v>4.6416449999999998E-2</v>
      </c>
      <c r="I35" s="146">
        <f>(81.22+0.53*9+0.72*9+0.69*9+0.48*63)*0.395/1000</f>
        <v>5.0923400000000001E-2</v>
      </c>
      <c r="J35" s="146">
        <f>(92.63+0.53*9+0.72*9+0.69*9+0.48*72)*0.395/1000*3</f>
        <v>0.17141024999999999</v>
      </c>
      <c r="K35" s="146">
        <f>(111.13+0.53*9+0.72*9+0.69*9+0.48*91)*0.395/1000</f>
        <v>6.8046650000000014E-2</v>
      </c>
      <c r="L35" s="147">
        <f>(129.72+0.53*9+0.72*9+0.69*9+0.48*108)*0.395/1000*2</f>
        <v>0.15722580000000003</v>
      </c>
      <c r="M35" s="129">
        <f>SUM(D35:L35)</f>
        <v>0.95787500000000003</v>
      </c>
    </row>
    <row r="36" spans="1:14" ht="15.75" thickBot="1">
      <c r="A36" s="167"/>
      <c r="B36" s="151"/>
      <c r="C36" s="150"/>
      <c r="D36" s="152"/>
      <c r="E36" s="152"/>
      <c r="F36" s="152"/>
      <c r="G36" s="152"/>
      <c r="H36" s="152"/>
      <c r="I36" s="152"/>
      <c r="J36" s="152"/>
      <c r="K36" s="152"/>
      <c r="L36" s="152"/>
      <c r="M36" s="152"/>
    </row>
    <row r="37" spans="1:14" s="37" customFormat="1" ht="8.25" customHeight="1" thickTop="1">
      <c r="A37" s="28"/>
      <c r="B37" s="46"/>
      <c r="C37" s="28"/>
      <c r="D37" s="148"/>
      <c r="E37" s="148"/>
      <c r="F37" s="148"/>
      <c r="G37" s="148"/>
      <c r="H37" s="148"/>
      <c r="I37" s="148"/>
      <c r="J37" s="148"/>
      <c r="K37" s="148"/>
      <c r="L37" s="149"/>
      <c r="M37" s="47"/>
    </row>
    <row r="38" spans="1:14" ht="25.5">
      <c r="A38" s="30"/>
      <c r="B38" s="31" t="s">
        <v>214</v>
      </c>
      <c r="C38" s="32"/>
      <c r="D38" s="127" t="s">
        <v>211</v>
      </c>
      <c r="E38" s="127" t="s">
        <v>212</v>
      </c>
      <c r="F38" s="127" t="s">
        <v>215</v>
      </c>
      <c r="G38" s="178" t="s">
        <v>40</v>
      </c>
      <c r="H38" s="28"/>
      <c r="I38" s="28"/>
      <c r="J38" s="28"/>
      <c r="K38" s="28"/>
      <c r="L38" s="28"/>
      <c r="M38" s="28"/>
    </row>
    <row r="39" spans="1:14">
      <c r="A39" s="32"/>
      <c r="B39" s="38" t="s">
        <v>236</v>
      </c>
      <c r="C39" s="32" t="s">
        <v>189</v>
      </c>
      <c r="D39" s="128">
        <v>3</v>
      </c>
      <c r="E39" s="128"/>
      <c r="F39" s="128"/>
      <c r="G39" s="166">
        <f>SUM(D39:F39)</f>
        <v>3</v>
      </c>
      <c r="H39" s="28"/>
      <c r="I39" s="28"/>
      <c r="J39" s="28"/>
      <c r="K39" s="28"/>
      <c r="L39" s="28"/>
      <c r="M39" s="28"/>
    </row>
    <row r="40" spans="1:14">
      <c r="A40" s="32"/>
      <c r="B40" s="38" t="s">
        <v>237</v>
      </c>
      <c r="C40" s="32" t="s">
        <v>189</v>
      </c>
      <c r="D40" s="128">
        <v>1</v>
      </c>
      <c r="E40" s="128"/>
      <c r="F40" s="128"/>
      <c r="G40" s="166">
        <f>SUM(D40:F40)</f>
        <v>1</v>
      </c>
      <c r="H40" s="28"/>
      <c r="I40" s="28"/>
      <c r="J40" s="28"/>
      <c r="K40" s="28"/>
      <c r="L40" s="28"/>
      <c r="M40" s="28"/>
    </row>
    <row r="41" spans="1:14">
      <c r="A41" s="32"/>
      <c r="B41" s="38" t="s">
        <v>253</v>
      </c>
      <c r="C41" s="32" t="s">
        <v>189</v>
      </c>
      <c r="D41" s="128"/>
      <c r="E41" s="128"/>
      <c r="F41" s="128">
        <v>1</v>
      </c>
      <c r="G41" s="166">
        <f>SUM(D41:F41)</f>
        <v>1</v>
      </c>
      <c r="H41" s="28"/>
      <c r="I41" s="28"/>
      <c r="J41" s="28"/>
      <c r="K41" s="28"/>
      <c r="L41" s="28"/>
      <c r="M41" s="28"/>
    </row>
    <row r="42" spans="1:14">
      <c r="A42" s="32"/>
      <c r="B42" s="38" t="s">
        <v>252</v>
      </c>
      <c r="C42" s="32" t="s">
        <v>189</v>
      </c>
      <c r="D42" s="128"/>
      <c r="E42" s="128"/>
      <c r="F42" s="128">
        <v>3</v>
      </c>
      <c r="G42" s="166">
        <f>SUM(D42:F42)</f>
        <v>3</v>
      </c>
      <c r="H42" s="28"/>
      <c r="I42" s="28"/>
      <c r="J42" s="28"/>
      <c r="K42" s="28"/>
      <c r="L42" s="28"/>
      <c r="M42" s="28"/>
    </row>
    <row r="43" spans="1:14">
      <c r="A43" s="32"/>
      <c r="B43" s="38" t="s">
        <v>238</v>
      </c>
      <c r="C43" s="32" t="s">
        <v>189</v>
      </c>
      <c r="D43" s="128"/>
      <c r="E43" s="128">
        <v>6</v>
      </c>
      <c r="F43" s="128"/>
      <c r="G43" s="166">
        <f>SUM(D43:F43)</f>
        <v>6</v>
      </c>
      <c r="H43" s="28"/>
      <c r="I43" s="28"/>
      <c r="J43" s="28"/>
      <c r="K43" s="28"/>
      <c r="L43" s="28"/>
      <c r="M43" s="28"/>
    </row>
    <row r="45" spans="1:14" ht="27" customHeight="1">
      <c r="A45" s="203" t="s">
        <v>260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122"/>
    </row>
    <row r="46" spans="1:14">
      <c r="D46" s="28"/>
      <c r="E46" s="28"/>
      <c r="F46" s="28"/>
      <c r="G46" s="28"/>
      <c r="H46" s="28"/>
      <c r="I46" s="28"/>
      <c r="J46" s="28"/>
      <c r="K46" s="28"/>
      <c r="L46" s="28"/>
      <c r="M46" s="48">
        <v>46272</v>
      </c>
    </row>
    <row r="53" spans="1:13" s="50" customFormat="1">
      <c r="A53" s="28"/>
      <c r="B53" s="46"/>
      <c r="C53" s="28"/>
      <c r="D53" s="37"/>
      <c r="E53" s="37"/>
      <c r="F53" s="37"/>
      <c r="G53" s="37"/>
      <c r="H53" s="37"/>
      <c r="I53" s="37"/>
      <c r="J53" s="37"/>
      <c r="K53" s="37"/>
      <c r="L53" s="37"/>
      <c r="M53" s="47"/>
    </row>
    <row r="63" spans="1:13" ht="27" customHeight="1"/>
  </sheetData>
  <mergeCells count="38">
    <mergeCell ref="L5:L6"/>
    <mergeCell ref="D17:F17"/>
    <mergeCell ref="B17:B18"/>
    <mergeCell ref="H5:H6"/>
    <mergeCell ref="I5:I6"/>
    <mergeCell ref="J5:J6"/>
    <mergeCell ref="G18:H18"/>
    <mergeCell ref="K5:K6"/>
    <mergeCell ref="A45:M45"/>
    <mergeCell ref="A1:M1"/>
    <mergeCell ref="A2:M2"/>
    <mergeCell ref="A5:A6"/>
    <mergeCell ref="B5:B6"/>
    <mergeCell ref="C5:C6"/>
    <mergeCell ref="D5:D6"/>
    <mergeCell ref="M5:M6"/>
    <mergeCell ref="A3:M3"/>
    <mergeCell ref="A4:B4"/>
    <mergeCell ref="E5:E6"/>
    <mergeCell ref="G5:G6"/>
    <mergeCell ref="F5:F6"/>
    <mergeCell ref="B30:B31"/>
    <mergeCell ref="D30:G30"/>
    <mergeCell ref="H30:L30"/>
    <mergeCell ref="M30:M31"/>
    <mergeCell ref="G25:H25"/>
    <mergeCell ref="A17:A18"/>
    <mergeCell ref="C17:C18"/>
    <mergeCell ref="G19:H19"/>
    <mergeCell ref="G21:H21"/>
    <mergeCell ref="G22:H22"/>
    <mergeCell ref="G23:H23"/>
    <mergeCell ref="G24:H24"/>
    <mergeCell ref="U17:U18"/>
    <mergeCell ref="G17:K17"/>
    <mergeCell ref="L17:M17"/>
    <mergeCell ref="G20:H20"/>
    <mergeCell ref="N17:S17"/>
  </mergeCells>
  <phoneticPr fontId="7" type="noConversion"/>
  <pageMargins left="0.7" right="0.7" top="0.75" bottom="0.75" header="0.3" footer="0.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G36"/>
  <sheetViews>
    <sheetView zoomScaleNormal="100" workbookViewId="0">
      <selection activeCell="C23" sqref="C23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4" width="13.5703125" style="37" customWidth="1"/>
    <col min="5" max="5" width="11.7109375" style="47" customWidth="1"/>
    <col min="6" max="16384" width="9.140625" style="28"/>
  </cols>
  <sheetData>
    <row r="1" spans="1:5" ht="15.75" customHeight="1">
      <c r="A1" s="198" t="s">
        <v>49</v>
      </c>
      <c r="B1" s="198"/>
      <c r="C1" s="198"/>
      <c r="D1" s="198"/>
      <c r="E1" s="198"/>
    </row>
    <row r="2" spans="1:5" ht="37.5" customHeight="1">
      <c r="A2" s="198" t="s">
        <v>47</v>
      </c>
      <c r="B2" s="198"/>
      <c r="C2" s="198"/>
      <c r="D2" s="198"/>
      <c r="E2" s="198"/>
    </row>
    <row r="3" spans="1:5" ht="15" customHeight="1">
      <c r="A3" s="199" t="s">
        <v>48</v>
      </c>
      <c r="B3" s="199"/>
      <c r="C3" s="199"/>
      <c r="D3" s="199"/>
      <c r="E3" s="199"/>
    </row>
    <row r="4" spans="1:5" ht="19.5" customHeight="1">
      <c r="A4" s="205" t="s">
        <v>115</v>
      </c>
      <c r="B4" s="205"/>
      <c r="C4" s="2"/>
      <c r="D4" s="2"/>
      <c r="E4" s="2"/>
    </row>
    <row r="5" spans="1:5" s="29" customFormat="1" ht="15.75" customHeight="1">
      <c r="A5" s="201" t="s">
        <v>14</v>
      </c>
      <c r="B5" s="201" t="s">
        <v>15</v>
      </c>
      <c r="C5" s="201" t="s">
        <v>4</v>
      </c>
      <c r="D5" s="201" t="s">
        <v>16</v>
      </c>
      <c r="E5" s="204" t="s">
        <v>10</v>
      </c>
    </row>
    <row r="6" spans="1:5" s="29" customFormat="1" ht="15.75" customHeight="1">
      <c r="A6" s="202"/>
      <c r="B6" s="202"/>
      <c r="C6" s="202"/>
      <c r="D6" s="202"/>
      <c r="E6" s="204"/>
    </row>
    <row r="7" spans="1:5" ht="15.75">
      <c r="A7" s="30"/>
      <c r="B7" s="31" t="s">
        <v>256</v>
      </c>
      <c r="C7" s="32"/>
      <c r="D7" s="39"/>
      <c r="E7" s="34"/>
    </row>
    <row r="8" spans="1:5" s="37" customFormat="1" ht="16.5" customHeight="1">
      <c r="A8" s="32"/>
      <c r="B8" s="35" t="s">
        <v>257</v>
      </c>
      <c r="C8" s="33" t="s">
        <v>0</v>
      </c>
      <c r="D8" s="94">
        <v>1.4</v>
      </c>
      <c r="E8" s="34"/>
    </row>
    <row r="9" spans="1:5" s="37" customFormat="1" ht="16.5" customHeight="1">
      <c r="A9" s="32"/>
      <c r="B9" s="35" t="s">
        <v>43</v>
      </c>
      <c r="C9" s="33" t="s">
        <v>0</v>
      </c>
      <c r="D9" s="94">
        <v>10</v>
      </c>
      <c r="E9" s="34"/>
    </row>
    <row r="10" spans="1:5" s="37" customFormat="1" ht="16.5" customHeight="1">
      <c r="A10" s="32"/>
      <c r="B10" s="38" t="s">
        <v>20</v>
      </c>
      <c r="C10" s="32" t="s">
        <v>7</v>
      </c>
      <c r="D10" s="91">
        <f>1*140*0.888/1000</f>
        <v>0.12432000000000001</v>
      </c>
      <c r="E10" s="34"/>
    </row>
    <row r="11" spans="1:5" s="37" customFormat="1" ht="16.5" customHeight="1">
      <c r="A11" s="32"/>
      <c r="B11" s="38" t="s">
        <v>18</v>
      </c>
      <c r="C11" s="32" t="s">
        <v>7</v>
      </c>
      <c r="D11" s="91">
        <f>1.27*15*0.617/1000</f>
        <v>1.175385E-2</v>
      </c>
      <c r="E11" s="34"/>
    </row>
    <row r="12" spans="1:5" s="37" customFormat="1" ht="16.5" customHeight="1">
      <c r="A12" s="32"/>
      <c r="B12" s="35" t="s">
        <v>258</v>
      </c>
      <c r="C12" s="33" t="s">
        <v>0</v>
      </c>
      <c r="D12" s="94">
        <v>1.2</v>
      </c>
      <c r="E12" s="34"/>
    </row>
    <row r="13" spans="1:5" s="37" customFormat="1" ht="16.5" customHeight="1">
      <c r="A13" s="32"/>
      <c r="B13" s="38" t="s">
        <v>22</v>
      </c>
      <c r="C13" s="32" t="s">
        <v>7</v>
      </c>
      <c r="D13" s="91">
        <f>1*23*2.466/1000</f>
        <v>5.6718000000000005E-2</v>
      </c>
      <c r="E13" s="34"/>
    </row>
    <row r="14" spans="1:5" s="37" customFormat="1" ht="16.5" customHeight="1">
      <c r="A14" s="32"/>
      <c r="B14" s="38" t="s">
        <v>17</v>
      </c>
      <c r="C14" s="32" t="s">
        <v>7</v>
      </c>
      <c r="D14" s="91">
        <f>1*42*1.578/1000</f>
        <v>6.6276000000000002E-2</v>
      </c>
      <c r="E14" s="34"/>
    </row>
    <row r="15" spans="1:5" s="37" customFormat="1" ht="16.5" customHeight="1">
      <c r="A15" s="32"/>
      <c r="B15" s="38" t="s">
        <v>20</v>
      </c>
      <c r="C15" s="32" t="s">
        <v>7</v>
      </c>
      <c r="D15" s="91">
        <f>1*136*0.888/1000</f>
        <v>0.120768</v>
      </c>
      <c r="E15" s="34"/>
    </row>
    <row r="16" spans="1:5" s="37" customFormat="1" ht="16.5" customHeight="1">
      <c r="A16" s="32"/>
      <c r="B16" s="38" t="s">
        <v>18</v>
      </c>
      <c r="C16" s="32" t="s">
        <v>7</v>
      </c>
      <c r="D16" s="91">
        <f>1.27*13*0.617/1000</f>
        <v>1.0186670000000002E-2</v>
      </c>
      <c r="E16" s="34"/>
    </row>
    <row r="17" spans="1:7">
      <c r="A17" s="32"/>
      <c r="B17" s="38" t="s">
        <v>42</v>
      </c>
      <c r="C17" s="32" t="s">
        <v>7</v>
      </c>
      <c r="D17" s="91">
        <f>1.7*4*2.466/1000</f>
        <v>1.6768800000000004E-2</v>
      </c>
      <c r="E17" s="34"/>
    </row>
    <row r="18" spans="1:7" s="50" customFormat="1">
      <c r="A18" s="28"/>
      <c r="B18" s="46"/>
      <c r="C18" s="28"/>
      <c r="D18" s="37"/>
      <c r="E18" s="47"/>
    </row>
    <row r="19" spans="1:7" ht="27" customHeight="1">
      <c r="A19" s="203" t="s">
        <v>143</v>
      </c>
      <c r="B19" s="203"/>
      <c r="C19" s="203"/>
      <c r="D19" s="203"/>
      <c r="E19" s="203"/>
      <c r="F19" s="122"/>
      <c r="G19" s="122"/>
    </row>
    <row r="20" spans="1:7">
      <c r="D20" s="28"/>
      <c r="E20" s="48">
        <v>46272</v>
      </c>
      <c r="F20" s="37"/>
    </row>
    <row r="26" spans="1:7" s="50" customFormat="1">
      <c r="A26" s="28"/>
      <c r="B26" s="46"/>
      <c r="C26" s="28"/>
      <c r="D26" s="37"/>
      <c r="E26" s="47"/>
    </row>
    <row r="36" ht="27" customHeight="1"/>
  </sheetData>
  <mergeCells count="10">
    <mergeCell ref="A19:E19"/>
    <mergeCell ref="A1:E1"/>
    <mergeCell ref="A2:E2"/>
    <mergeCell ref="A5:A6"/>
    <mergeCell ref="B5:B6"/>
    <mergeCell ref="C5:C6"/>
    <mergeCell ref="D5:D6"/>
    <mergeCell ref="E5:E6"/>
    <mergeCell ref="A3:E3"/>
    <mergeCell ref="A4:B4"/>
  </mergeCells>
  <phoneticPr fontId="7" type="noConversion"/>
  <pageMargins left="0.7" right="0.7" top="0.75" bottom="0.75" header="0.3" footer="0.3"/>
  <pageSetup paperSize="9" scale="7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8"/>
  <sheetViews>
    <sheetView workbookViewId="0">
      <selection activeCell="J25" sqref="J25"/>
    </sheetView>
  </sheetViews>
  <sheetFormatPr defaultRowHeight="15"/>
  <cols>
    <col min="1" max="1" width="34.85546875" customWidth="1"/>
    <col min="2" max="2" width="9.5703125" customWidth="1"/>
    <col min="3" max="3" width="9.7109375" customWidth="1"/>
    <col min="4" max="4" width="12" customWidth="1"/>
    <col min="5" max="5" width="18.140625" customWidth="1"/>
  </cols>
  <sheetData>
    <row r="1" spans="1:5" ht="21.75" customHeight="1">
      <c r="A1" s="245" t="s">
        <v>259</v>
      </c>
      <c r="B1" s="245"/>
      <c r="C1" s="245"/>
      <c r="D1" s="245"/>
      <c r="E1" s="245"/>
    </row>
    <row r="2" spans="1:5" ht="24.75" customHeight="1" thickBot="1">
      <c r="A2" s="245"/>
      <c r="B2" s="245"/>
      <c r="C2" s="245"/>
      <c r="D2" s="245"/>
      <c r="E2" s="245"/>
    </row>
    <row r="3" spans="1:5" ht="15.75" thickBot="1">
      <c r="A3" s="242" t="s">
        <v>261</v>
      </c>
      <c r="B3" s="243"/>
      <c r="C3" s="243"/>
      <c r="D3" s="243"/>
      <c r="E3" s="244"/>
    </row>
    <row r="4" spans="1:5" ht="30.75" customHeight="1">
      <c r="A4" s="53" t="s">
        <v>27</v>
      </c>
      <c r="B4" s="183" t="s">
        <v>39</v>
      </c>
      <c r="C4" s="57" t="s">
        <v>262</v>
      </c>
      <c r="D4" s="57" t="s">
        <v>28</v>
      </c>
      <c r="E4" s="58" t="s">
        <v>29</v>
      </c>
    </row>
    <row r="5" spans="1:5">
      <c r="A5" s="54" t="s">
        <v>30</v>
      </c>
      <c r="B5" s="59"/>
      <c r="C5" s="180">
        <v>2797.5</v>
      </c>
      <c r="D5" s="51">
        <v>262.75</v>
      </c>
      <c r="E5" s="60">
        <f>D5/(B5+C5)*1000</f>
        <v>93.923145665773006</v>
      </c>
    </row>
    <row r="6" spans="1:5">
      <c r="A6" s="54" t="s">
        <v>31</v>
      </c>
      <c r="B6" s="59"/>
      <c r="C6" s="180">
        <v>1030</v>
      </c>
      <c r="D6" s="51">
        <v>112.34</v>
      </c>
      <c r="E6" s="60">
        <f t="shared" ref="E6:E19" si="0">D6/(B6+C6)*1000</f>
        <v>109.06796116504854</v>
      </c>
    </row>
    <row r="7" spans="1:5">
      <c r="A7" s="54" t="s">
        <v>32</v>
      </c>
      <c r="B7" s="180">
        <v>1000.7</v>
      </c>
      <c r="C7" s="180"/>
      <c r="D7" s="51">
        <v>97.71</v>
      </c>
      <c r="E7" s="60">
        <f t="shared" si="0"/>
        <v>97.6416508444089</v>
      </c>
    </row>
    <row r="8" spans="1:5">
      <c r="A8" s="54" t="s">
        <v>263</v>
      </c>
      <c r="B8" s="59"/>
      <c r="C8" s="180">
        <v>122.6</v>
      </c>
      <c r="D8" s="51">
        <v>9.48</v>
      </c>
      <c r="E8" s="60">
        <f t="shared" si="0"/>
        <v>77.324632952691687</v>
      </c>
    </row>
    <row r="9" spans="1:5">
      <c r="A9" s="54" t="s">
        <v>264</v>
      </c>
      <c r="B9" s="59">
        <v>32.299999999999997</v>
      </c>
      <c r="C9" s="180"/>
      <c r="D9" s="51">
        <v>2.7</v>
      </c>
      <c r="E9" s="60">
        <f t="shared" si="0"/>
        <v>83.591331269349851</v>
      </c>
    </row>
    <row r="10" spans="1:5">
      <c r="A10" s="54" t="s">
        <v>33</v>
      </c>
      <c r="B10" s="59">
        <v>800</v>
      </c>
      <c r="C10" s="180">
        <v>230</v>
      </c>
      <c r="D10" s="51">
        <v>121.31399999999999</v>
      </c>
      <c r="E10" s="60">
        <f t="shared" si="0"/>
        <v>117.78058252427185</v>
      </c>
    </row>
    <row r="11" spans="1:5">
      <c r="A11" s="54" t="s">
        <v>34</v>
      </c>
      <c r="B11" s="59">
        <v>912.1</v>
      </c>
      <c r="C11" s="180">
        <v>13.5</v>
      </c>
      <c r="D11" s="51">
        <v>93.67</v>
      </c>
      <c r="E11" s="60">
        <f t="shared" si="0"/>
        <v>101.19922212618842</v>
      </c>
    </row>
    <row r="12" spans="1:5">
      <c r="A12" s="54" t="s">
        <v>35</v>
      </c>
      <c r="B12" s="59">
        <v>635</v>
      </c>
      <c r="C12" s="180">
        <v>175</v>
      </c>
      <c r="D12" s="51">
        <v>107.18</v>
      </c>
      <c r="E12" s="60">
        <f t="shared" si="0"/>
        <v>132.32098765432099</v>
      </c>
    </row>
    <row r="13" spans="1:5">
      <c r="A13" s="54" t="s">
        <v>36</v>
      </c>
      <c r="B13" s="59">
        <v>646.70000000000005</v>
      </c>
      <c r="C13" s="180">
        <v>27.7</v>
      </c>
      <c r="D13" s="51">
        <v>74.38</v>
      </c>
      <c r="E13" s="60">
        <f t="shared" si="0"/>
        <v>110.29062870699879</v>
      </c>
    </row>
    <row r="14" spans="1:5">
      <c r="A14" s="54" t="s">
        <v>37</v>
      </c>
      <c r="B14" s="59">
        <v>498</v>
      </c>
      <c r="C14" s="180">
        <v>171</v>
      </c>
      <c r="D14" s="51">
        <v>72.09</v>
      </c>
      <c r="E14" s="60">
        <f t="shared" si="0"/>
        <v>107.7578475336323</v>
      </c>
    </row>
    <row r="15" spans="1:5">
      <c r="A15" s="55" t="s">
        <v>38</v>
      </c>
      <c r="B15" s="61">
        <v>793.3</v>
      </c>
      <c r="C15" s="181"/>
      <c r="D15" s="65">
        <v>83.15</v>
      </c>
      <c r="E15" s="60">
        <f t="shared" si="0"/>
        <v>104.81532837514182</v>
      </c>
    </row>
    <row r="16" spans="1:5">
      <c r="A16" s="55" t="s">
        <v>266</v>
      </c>
      <c r="B16" s="61">
        <v>80</v>
      </c>
      <c r="C16" s="181"/>
      <c r="D16" s="65">
        <v>10.54</v>
      </c>
      <c r="E16" s="60">
        <f t="shared" si="0"/>
        <v>131.74999999999997</v>
      </c>
    </row>
    <row r="17" spans="1:5">
      <c r="A17" s="55" t="s">
        <v>267</v>
      </c>
      <c r="B17" s="61">
        <v>90.6</v>
      </c>
      <c r="C17" s="181"/>
      <c r="D17" s="65">
        <v>8.9499999999999993</v>
      </c>
      <c r="E17" s="60">
        <f t="shared" si="0"/>
        <v>98.785871964679913</v>
      </c>
    </row>
    <row r="18" spans="1:5">
      <c r="A18" s="55" t="s">
        <v>265</v>
      </c>
      <c r="B18" s="61">
        <v>1.2</v>
      </c>
      <c r="C18" s="181">
        <v>1.4</v>
      </c>
      <c r="D18" s="65">
        <v>0.41</v>
      </c>
      <c r="E18" s="60">
        <f t="shared" si="0"/>
        <v>157.69230769230771</v>
      </c>
    </row>
    <row r="19" spans="1:5" ht="15.75" thickBot="1">
      <c r="A19" s="56" t="s">
        <v>269</v>
      </c>
      <c r="B19" s="62">
        <v>67.040000000000006</v>
      </c>
      <c r="C19" s="182"/>
      <c r="D19" s="65">
        <v>8.69</v>
      </c>
      <c r="E19" s="60">
        <f t="shared" si="0"/>
        <v>129.62410501193315</v>
      </c>
    </row>
    <row r="20" spans="1:5" ht="16.5" thickBot="1">
      <c r="A20" s="52" t="s">
        <v>40</v>
      </c>
      <c r="B20" s="240">
        <f>SUM(B5:C19)</f>
        <v>10125.640000000003</v>
      </c>
      <c r="C20" s="241"/>
      <c r="D20" s="63">
        <f>SUM(D5:D19)</f>
        <v>1065.3540000000003</v>
      </c>
      <c r="E20" s="64">
        <f>D20/B20*1000</f>
        <v>105.21349761595316</v>
      </c>
    </row>
    <row r="21" spans="1:5">
      <c r="B21" s="239"/>
      <c r="C21" s="239"/>
    </row>
    <row r="22" spans="1:5" ht="15.75">
      <c r="A22" s="246" t="s">
        <v>190</v>
      </c>
      <c r="B22" s="246"/>
      <c r="D22" s="67"/>
    </row>
    <row r="23" spans="1:5">
      <c r="A23" s="38" t="s">
        <v>191</v>
      </c>
      <c r="B23" s="185">
        <v>19</v>
      </c>
      <c r="D23" s="186"/>
      <c r="E23" s="186"/>
    </row>
    <row r="24" spans="1:5" ht="15.75">
      <c r="A24" s="238" t="s">
        <v>192</v>
      </c>
      <c r="B24" s="238"/>
      <c r="D24" s="186"/>
      <c r="E24" s="186"/>
    </row>
    <row r="25" spans="1:5">
      <c r="A25" s="38" t="s">
        <v>193</v>
      </c>
      <c r="B25" s="184">
        <v>12</v>
      </c>
      <c r="D25" s="186"/>
      <c r="E25" s="186"/>
    </row>
    <row r="26" spans="1:5">
      <c r="A26" s="38" t="s">
        <v>194</v>
      </c>
      <c r="B26" s="184">
        <v>48</v>
      </c>
      <c r="D26" s="186"/>
      <c r="E26" s="186"/>
    </row>
    <row r="27" spans="1:5">
      <c r="A27" s="38" t="s">
        <v>195</v>
      </c>
      <c r="B27" s="184">
        <v>12</v>
      </c>
      <c r="D27" s="186"/>
      <c r="E27" s="186"/>
    </row>
    <row r="28" spans="1:5">
      <c r="A28" s="38" t="s">
        <v>196</v>
      </c>
      <c r="B28" s="184">
        <v>36</v>
      </c>
      <c r="D28" s="186"/>
      <c r="E28" s="186"/>
    </row>
    <row r="29" spans="1:5">
      <c r="A29" s="38" t="s">
        <v>197</v>
      </c>
      <c r="B29" s="184">
        <v>36</v>
      </c>
      <c r="D29" s="186"/>
      <c r="E29" s="186"/>
    </row>
    <row r="30" spans="1:5">
      <c r="A30" s="38" t="s">
        <v>198</v>
      </c>
      <c r="B30" s="184">
        <v>24</v>
      </c>
      <c r="D30" s="186"/>
      <c r="E30" s="186"/>
    </row>
    <row r="31" spans="1:5">
      <c r="A31" s="38" t="s">
        <v>199</v>
      </c>
      <c r="B31" s="184">
        <v>12</v>
      </c>
      <c r="D31" s="186"/>
      <c r="E31" s="186"/>
    </row>
    <row r="32" spans="1:5">
      <c r="A32" s="38" t="s">
        <v>200</v>
      </c>
      <c r="B32" s="184">
        <v>12</v>
      </c>
      <c r="D32" s="186"/>
      <c r="E32" s="186"/>
    </row>
    <row r="33" spans="1:5" ht="15.75">
      <c r="A33" s="238" t="s">
        <v>268</v>
      </c>
      <c r="B33" s="238"/>
      <c r="D33" s="186"/>
      <c r="E33" s="186"/>
    </row>
    <row r="34" spans="1:5" ht="30">
      <c r="A34" s="38" t="s">
        <v>236</v>
      </c>
      <c r="B34" s="166">
        <v>3</v>
      </c>
      <c r="D34" s="186"/>
      <c r="E34" s="186"/>
    </row>
    <row r="35" spans="1:5" ht="30">
      <c r="A35" s="38" t="s">
        <v>237</v>
      </c>
      <c r="B35" s="166">
        <v>1</v>
      </c>
      <c r="D35" s="186"/>
      <c r="E35" s="186"/>
    </row>
    <row r="36" spans="1:5" ht="30">
      <c r="A36" s="38" t="s">
        <v>253</v>
      </c>
      <c r="B36" s="166">
        <v>1</v>
      </c>
      <c r="D36" s="186"/>
      <c r="E36" s="186"/>
    </row>
    <row r="37" spans="1:5" ht="30">
      <c r="A37" s="38" t="s">
        <v>252</v>
      </c>
      <c r="B37" s="166">
        <v>3</v>
      </c>
      <c r="D37" s="186"/>
      <c r="E37" s="186"/>
    </row>
    <row r="38" spans="1:5" ht="30">
      <c r="A38" s="38" t="s">
        <v>238</v>
      </c>
      <c r="B38" s="166">
        <v>6</v>
      </c>
      <c r="D38" s="186"/>
      <c r="E38" s="186"/>
    </row>
  </sheetData>
  <mergeCells count="7">
    <mergeCell ref="A33:B33"/>
    <mergeCell ref="B21:C21"/>
    <mergeCell ref="B20:C20"/>
    <mergeCell ref="A3:E3"/>
    <mergeCell ref="A1:E2"/>
    <mergeCell ref="A22:B22"/>
    <mergeCell ref="A24:B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29"/>
  <sheetViews>
    <sheetView topLeftCell="A91" zoomScaleNormal="100" workbookViewId="0">
      <selection activeCell="B131" sqref="B131"/>
    </sheetView>
  </sheetViews>
  <sheetFormatPr defaultRowHeight="15"/>
  <cols>
    <col min="1" max="1" width="4.85546875" style="28" customWidth="1"/>
    <col min="2" max="2" width="75" style="46" customWidth="1"/>
    <col min="3" max="5" width="9.140625" style="28"/>
    <col min="6" max="6" width="13.5703125" style="37" customWidth="1"/>
    <col min="7" max="7" width="11.7109375" style="47" customWidth="1"/>
    <col min="8" max="8" width="13.140625" style="28" bestFit="1" customWidth="1"/>
    <col min="9" max="16384" width="9.140625" style="28"/>
  </cols>
  <sheetData>
    <row r="1" spans="1:9" ht="15.75" customHeight="1">
      <c r="A1" s="198" t="s">
        <v>49</v>
      </c>
      <c r="B1" s="198"/>
      <c r="C1" s="198"/>
      <c r="D1" s="198"/>
      <c r="E1" s="198"/>
      <c r="F1" s="198"/>
      <c r="G1" s="198"/>
      <c r="H1" s="80"/>
      <c r="I1" s="80"/>
    </row>
    <row r="2" spans="1:9" ht="37.5" customHeight="1">
      <c r="A2" s="198" t="s">
        <v>47</v>
      </c>
      <c r="B2" s="198"/>
      <c r="C2" s="198"/>
      <c r="D2" s="198"/>
      <c r="E2" s="198"/>
      <c r="F2" s="198"/>
      <c r="G2" s="198"/>
      <c r="H2" s="80"/>
      <c r="I2" s="80"/>
    </row>
    <row r="3" spans="1:9" ht="15" customHeight="1">
      <c r="A3" s="199" t="s">
        <v>48</v>
      </c>
      <c r="B3" s="199"/>
      <c r="C3" s="199"/>
      <c r="D3" s="199"/>
      <c r="E3" s="199"/>
      <c r="F3" s="199"/>
      <c r="G3" s="199"/>
      <c r="H3" s="81"/>
      <c r="I3" s="81"/>
    </row>
    <row r="4" spans="1:9" ht="19.5" customHeight="1">
      <c r="A4" s="205" t="s">
        <v>50</v>
      </c>
      <c r="B4" s="205"/>
      <c r="C4" s="2"/>
      <c r="D4" s="2"/>
      <c r="E4" s="2"/>
      <c r="F4" s="2"/>
      <c r="G4" s="2"/>
      <c r="H4" s="19"/>
      <c r="I4" s="16"/>
    </row>
    <row r="5" spans="1:9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9" s="29" customFormat="1" ht="15.75" customHeight="1">
      <c r="A6" s="202"/>
      <c r="B6" s="202"/>
      <c r="C6" s="202"/>
      <c r="D6" s="202"/>
      <c r="E6" s="202"/>
      <c r="F6" s="202"/>
      <c r="G6" s="204"/>
    </row>
    <row r="7" spans="1:9" ht="15.75">
      <c r="A7" s="30">
        <v>1</v>
      </c>
      <c r="B7" s="31" t="s">
        <v>65</v>
      </c>
      <c r="C7" s="32"/>
      <c r="D7" s="32"/>
      <c r="E7" s="32"/>
      <c r="F7" s="33"/>
      <c r="G7" s="34"/>
    </row>
    <row r="8" spans="1:9" s="37" customFormat="1" ht="16.5" customHeight="1">
      <c r="A8" s="33"/>
      <c r="B8" s="35" t="s">
        <v>66</v>
      </c>
      <c r="C8" s="33" t="s">
        <v>0</v>
      </c>
      <c r="D8" s="83">
        <v>130</v>
      </c>
      <c r="E8" s="83">
        <v>900</v>
      </c>
      <c r="F8" s="83">
        <f t="shared" ref="F8:F13" si="0">D8+E8</f>
        <v>1030</v>
      </c>
      <c r="G8" s="40">
        <f>G9/F8</f>
        <v>0.10896879685436894</v>
      </c>
      <c r="H8" s="36"/>
    </row>
    <row r="9" spans="1:9" s="37" customFormat="1" ht="16.5" customHeight="1">
      <c r="A9" s="33"/>
      <c r="B9" s="38" t="s">
        <v>22</v>
      </c>
      <c r="C9" s="32" t="s">
        <v>7</v>
      </c>
      <c r="D9" s="39"/>
      <c r="E9" s="84">
        <f>12*2.466/1000</f>
        <v>2.9592000000000004E-2</v>
      </c>
      <c r="F9" s="89">
        <f t="shared" si="0"/>
        <v>2.9592000000000004E-2</v>
      </c>
      <c r="G9" s="40">
        <f>SUM(F9:F13,F15:F19,F34:F37)</f>
        <v>112.23786076000002</v>
      </c>
    </row>
    <row r="10" spans="1:9" s="37" customFormat="1" ht="16.5" customHeight="1">
      <c r="A10" s="32"/>
      <c r="B10" s="38" t="s">
        <v>17</v>
      </c>
      <c r="C10" s="32" t="s">
        <v>7</v>
      </c>
      <c r="D10" s="39"/>
      <c r="E10" s="84">
        <f>180*1.578/1000</f>
        <v>0.28404000000000001</v>
      </c>
      <c r="F10" s="89">
        <f t="shared" si="0"/>
        <v>0.28404000000000001</v>
      </c>
      <c r="G10" s="40"/>
    </row>
    <row r="11" spans="1:9">
      <c r="A11" s="32"/>
      <c r="B11" s="38" t="s">
        <v>20</v>
      </c>
      <c r="C11" s="32" t="s">
        <v>7</v>
      </c>
      <c r="D11" s="84">
        <f>667*0.888/1000</f>
        <v>0.59229600000000004</v>
      </c>
      <c r="E11" s="84">
        <f>3285*0.888/1000</f>
        <v>2.9170799999999999</v>
      </c>
      <c r="F11" s="89">
        <f t="shared" si="0"/>
        <v>3.5093760000000001</v>
      </c>
      <c r="G11" s="40"/>
    </row>
    <row r="12" spans="1:9" ht="15.75" customHeight="1">
      <c r="A12" s="32"/>
      <c r="B12" s="38" t="s">
        <v>19</v>
      </c>
      <c r="C12" s="32" t="s">
        <v>7</v>
      </c>
      <c r="D12" s="84">
        <f>(6066+1588+40)*0.395/1000</f>
        <v>3.0391300000000001</v>
      </c>
      <c r="E12" s="84">
        <f>(39367+9697+1066)*0.395/1000</f>
        <v>19.801350000000003</v>
      </c>
      <c r="F12" s="89">
        <f t="shared" si="0"/>
        <v>22.840480000000003</v>
      </c>
      <c r="G12" s="49"/>
    </row>
    <row r="13" spans="1:9" ht="15.75" customHeight="1">
      <c r="A13" s="32"/>
      <c r="B13" s="38" t="s">
        <v>23</v>
      </c>
      <c r="C13" s="32" t="s">
        <v>7</v>
      </c>
      <c r="D13" s="39"/>
      <c r="E13" s="84">
        <f>604*0.395/1000</f>
        <v>0.23858000000000001</v>
      </c>
      <c r="F13" s="89">
        <f t="shared" si="0"/>
        <v>0.23858000000000001</v>
      </c>
      <c r="G13" s="40"/>
    </row>
    <row r="14" spans="1:9" ht="15.75" customHeight="1">
      <c r="A14" s="33">
        <v>2</v>
      </c>
      <c r="B14" s="82" t="s">
        <v>67</v>
      </c>
      <c r="C14" s="32"/>
      <c r="D14" s="39"/>
      <c r="E14" s="39"/>
      <c r="F14" s="39"/>
      <c r="G14" s="40"/>
    </row>
    <row r="15" spans="1:9">
      <c r="A15" s="32"/>
      <c r="B15" s="42" t="s">
        <v>76</v>
      </c>
      <c r="C15" s="43" t="s">
        <v>7</v>
      </c>
      <c r="D15" s="89">
        <f>D31</f>
        <v>0</v>
      </c>
      <c r="E15" s="89">
        <f>E31</f>
        <v>5.7574195200000009</v>
      </c>
      <c r="F15" s="89">
        <f>D15+E15</f>
        <v>5.7574195200000009</v>
      </c>
      <c r="G15" s="40"/>
    </row>
    <row r="16" spans="1:9">
      <c r="A16" s="32"/>
      <c r="B16" s="42" t="s">
        <v>68</v>
      </c>
      <c r="C16" s="43" t="s">
        <v>7</v>
      </c>
      <c r="D16" s="89">
        <f>D21+D24+D27</f>
        <v>0.88544736000000002</v>
      </c>
      <c r="E16" s="89">
        <f>E21+E24+E27</f>
        <v>5.5399161599999998</v>
      </c>
      <c r="F16" s="89">
        <f>D16+E16</f>
        <v>6.4253635199999994</v>
      </c>
      <c r="G16" s="40"/>
      <c r="H16" s="72"/>
    </row>
    <row r="17" spans="1:8">
      <c r="A17" s="32"/>
      <c r="B17" s="42" t="s">
        <v>71</v>
      </c>
      <c r="C17" s="43" t="s">
        <v>7</v>
      </c>
      <c r="D17" s="89">
        <f>D32</f>
        <v>0</v>
      </c>
      <c r="E17" s="89">
        <f>E32</f>
        <v>2.17203744</v>
      </c>
      <c r="F17" s="89">
        <f>D17+E17</f>
        <v>2.17203744</v>
      </c>
      <c r="G17" s="40"/>
    </row>
    <row r="18" spans="1:8">
      <c r="A18" s="32"/>
      <c r="B18" s="42" t="s">
        <v>70</v>
      </c>
      <c r="C18" s="43" t="s">
        <v>7</v>
      </c>
      <c r="D18" s="89">
        <f>D22+D25+D28</f>
        <v>0.16490459999999998</v>
      </c>
      <c r="E18" s="89">
        <f>E22+E25+E28</f>
        <v>1.3067232</v>
      </c>
      <c r="F18" s="89">
        <f>D18+E18</f>
        <v>1.4716278</v>
      </c>
      <c r="G18" s="40"/>
    </row>
    <row r="19" spans="1:8">
      <c r="A19" s="32"/>
      <c r="B19" s="42" t="s">
        <v>105</v>
      </c>
      <c r="C19" s="43" t="s">
        <v>7</v>
      </c>
      <c r="D19" s="89">
        <f>D29</f>
        <v>0</v>
      </c>
      <c r="E19" s="89">
        <f>E29</f>
        <v>8.1907199999999986E-2</v>
      </c>
      <c r="F19" s="89">
        <f>D19+E19</f>
        <v>8.1907199999999986E-2</v>
      </c>
      <c r="G19" s="40"/>
    </row>
    <row r="20" spans="1:8">
      <c r="A20" s="32"/>
      <c r="B20" s="42" t="s">
        <v>72</v>
      </c>
      <c r="C20" s="43"/>
      <c r="D20" s="90"/>
      <c r="E20" s="90"/>
      <c r="F20" s="90"/>
      <c r="G20" s="40"/>
    </row>
    <row r="21" spans="1:8">
      <c r="A21" s="32"/>
      <c r="B21" s="38" t="s">
        <v>17</v>
      </c>
      <c r="C21" s="32" t="s">
        <v>7</v>
      </c>
      <c r="D21" s="84">
        <f>(3.34*8)*1.578/1000*21</f>
        <v>0.88544736000000002</v>
      </c>
      <c r="E21" s="39"/>
      <c r="F21" s="90"/>
      <c r="G21" s="40"/>
    </row>
    <row r="22" spans="1:8">
      <c r="A22" s="32"/>
      <c r="B22" s="38" t="s">
        <v>19</v>
      </c>
      <c r="C22" s="32" t="s">
        <v>7</v>
      </c>
      <c r="D22" s="84">
        <f>(1.42*14)*0.395/1000*21</f>
        <v>0.16490459999999998</v>
      </c>
      <c r="E22" s="39"/>
      <c r="F22" s="90"/>
      <c r="G22" s="40"/>
    </row>
    <row r="23" spans="1:8">
      <c r="A23" s="32"/>
      <c r="B23" s="42" t="s">
        <v>73</v>
      </c>
      <c r="C23" s="43"/>
      <c r="D23" s="90"/>
      <c r="E23" s="90"/>
      <c r="F23" s="90"/>
      <c r="G23" s="40"/>
    </row>
    <row r="24" spans="1:8">
      <c r="A24" s="32"/>
      <c r="B24" s="38" t="s">
        <v>17</v>
      </c>
      <c r="C24" s="32" t="s">
        <v>7</v>
      </c>
      <c r="D24" s="85"/>
      <c r="E24" s="84">
        <f>(4.77*8)*1.578/1000*74</f>
        <v>4.4560195199999999</v>
      </c>
      <c r="F24" s="90"/>
      <c r="G24" s="40"/>
    </row>
    <row r="25" spans="1:8">
      <c r="A25" s="32"/>
      <c r="B25" s="38" t="s">
        <v>19</v>
      </c>
      <c r="C25" s="32" t="s">
        <v>7</v>
      </c>
      <c r="D25" s="85"/>
      <c r="E25" s="84">
        <f>(1.42*24)*0.395/1000*74</f>
        <v>0.9961584</v>
      </c>
      <c r="F25" s="90"/>
      <c r="G25" s="40"/>
    </row>
    <row r="26" spans="1:8">
      <c r="A26" s="32"/>
      <c r="B26" s="42" t="s">
        <v>74</v>
      </c>
      <c r="C26" s="43"/>
      <c r="D26" s="90"/>
      <c r="E26" s="90"/>
      <c r="F26" s="90"/>
      <c r="G26" s="40"/>
    </row>
    <row r="27" spans="1:8">
      <c r="A27" s="32"/>
      <c r="B27" s="38" t="s">
        <v>17</v>
      </c>
      <c r="C27" s="32" t="s">
        <v>7</v>
      </c>
      <c r="D27" s="85"/>
      <c r="E27" s="84">
        <f>(4.77*8)*1.578/1000*18</f>
        <v>1.0838966399999999</v>
      </c>
      <c r="F27" s="90"/>
      <c r="G27" s="40"/>
    </row>
    <row r="28" spans="1:8">
      <c r="A28" s="32"/>
      <c r="B28" s="38" t="s">
        <v>19</v>
      </c>
      <c r="C28" s="32" t="s">
        <v>7</v>
      </c>
      <c r="D28" s="85"/>
      <c r="E28" s="84">
        <f>(1.82*24)*0.395/1000*18</f>
        <v>0.31056480000000003</v>
      </c>
      <c r="F28" s="90"/>
      <c r="G28" s="40"/>
    </row>
    <row r="29" spans="1:8">
      <c r="A29" s="32"/>
      <c r="B29" s="38" t="s">
        <v>23</v>
      </c>
      <c r="C29" s="32" t="s">
        <v>7</v>
      </c>
      <c r="D29" s="85"/>
      <c r="E29" s="84">
        <f>(0.48*24)*0.395/1000*18</f>
        <v>8.1907199999999986E-2</v>
      </c>
      <c r="F29" s="90"/>
      <c r="G29" s="40"/>
    </row>
    <row r="30" spans="1:8">
      <c r="A30" s="32"/>
      <c r="B30" s="42" t="s">
        <v>75</v>
      </c>
      <c r="C30" s="43"/>
      <c r="D30" s="90"/>
      <c r="E30" s="90"/>
      <c r="F30" s="90"/>
      <c r="G30" s="40"/>
    </row>
    <row r="31" spans="1:8">
      <c r="A31" s="32"/>
      <c r="B31" s="38" t="s">
        <v>22</v>
      </c>
      <c r="C31" s="32" t="s">
        <v>7</v>
      </c>
      <c r="D31" s="85"/>
      <c r="E31" s="84">
        <f>(5.12*12)*2.466/1000*38</f>
        <v>5.7574195200000009</v>
      </c>
      <c r="F31" s="90"/>
      <c r="G31" s="40"/>
    </row>
    <row r="32" spans="1:8">
      <c r="A32" s="32"/>
      <c r="B32" s="38" t="s">
        <v>18</v>
      </c>
      <c r="C32" s="32" t="s">
        <v>7</v>
      </c>
      <c r="D32" s="85"/>
      <c r="E32" s="84">
        <f>(1.93*48)*0.617/1000*38</f>
        <v>2.17203744</v>
      </c>
      <c r="F32" s="90"/>
      <c r="G32" s="40"/>
      <c r="H32" s="41"/>
    </row>
    <row r="33" spans="1:8" ht="15.75">
      <c r="A33" s="33">
        <v>3</v>
      </c>
      <c r="B33" s="82" t="s">
        <v>77</v>
      </c>
      <c r="C33" s="32"/>
      <c r="D33" s="44"/>
      <c r="E33" s="44"/>
      <c r="F33" s="44"/>
      <c r="G33" s="40"/>
      <c r="H33" s="41"/>
    </row>
    <row r="34" spans="1:8">
      <c r="A34" s="32"/>
      <c r="B34" s="42" t="s">
        <v>68</v>
      </c>
      <c r="C34" s="43" t="s">
        <v>7</v>
      </c>
      <c r="D34" s="89">
        <f>D84+D87+D90</f>
        <v>0.8483328</v>
      </c>
      <c r="E34" s="89">
        <f>E84+E87+E90</f>
        <v>3.387966</v>
      </c>
      <c r="F34" s="89">
        <f>D34+E34</f>
        <v>4.2362988000000001</v>
      </c>
      <c r="G34" s="40"/>
    </row>
    <row r="35" spans="1:8">
      <c r="A35" s="32"/>
      <c r="B35" s="42" t="s">
        <v>69</v>
      </c>
      <c r="C35" s="43" t="s">
        <v>7</v>
      </c>
      <c r="D35" s="89">
        <f>D39+D42+D45+D48+D51+D54+D57+D60+D63+D66+D69+D72+D75+D78+D81+D93+D96+D99+D102+D105+D108+D111</f>
        <v>9.0773491200000009</v>
      </c>
      <c r="E35" s="89">
        <f>E39+E42+E45+E48+E51+E54+E57+E60+E63+E66+E69+E72+E75+E78+E81+E93+E96+E99+E102+E105+E108+E111</f>
        <v>47.626832160000006</v>
      </c>
      <c r="F35" s="89">
        <f>D35+E35</f>
        <v>56.704181280000007</v>
      </c>
      <c r="G35" s="40"/>
    </row>
    <row r="36" spans="1:8">
      <c r="A36" s="32"/>
      <c r="B36" s="42" t="s">
        <v>71</v>
      </c>
      <c r="C36" s="43" t="s">
        <v>7</v>
      </c>
      <c r="D36" s="89">
        <f>D88+D91</f>
        <v>0.1599264</v>
      </c>
      <c r="E36" s="89">
        <f>E88+E91</f>
        <v>0.1421568</v>
      </c>
      <c r="F36" s="89">
        <f>D36+E36</f>
        <v>0.3020832</v>
      </c>
      <c r="G36" s="40"/>
    </row>
    <row r="37" spans="1:8">
      <c r="A37" s="32"/>
      <c r="B37" s="42" t="s">
        <v>70</v>
      </c>
      <c r="C37" s="43" t="s">
        <v>7</v>
      </c>
      <c r="D37" s="89">
        <f>D40+D43+D46+D49+D52+D55+D58+D61+D64+D67+D70+D73+D76+D79+D82+D85+D94+D97+D100+D103+D106+D109+D112</f>
        <v>0.97574479999999997</v>
      </c>
      <c r="E37" s="89">
        <f>E40+E43+E46+E49+E52+E55+E58+E61+E64+E67+E70+E73+E76+E79+E82+E85+E94+E97+E100+E103+E106+E109+E112</f>
        <v>7.2091292000000013</v>
      </c>
      <c r="F37" s="89">
        <f>D37+E37</f>
        <v>8.1848740000000006</v>
      </c>
      <c r="G37" s="40"/>
    </row>
    <row r="38" spans="1:8">
      <c r="A38" s="32"/>
      <c r="B38" s="42" t="s">
        <v>78</v>
      </c>
      <c r="C38" s="43"/>
      <c r="D38" s="90"/>
      <c r="E38" s="90"/>
      <c r="F38" s="90"/>
      <c r="G38" s="40"/>
    </row>
    <row r="39" spans="1:8">
      <c r="A39" s="32"/>
      <c r="B39" s="38" t="s">
        <v>20</v>
      </c>
      <c r="C39" s="32" t="s">
        <v>7</v>
      </c>
      <c r="D39" s="85"/>
      <c r="E39" s="84">
        <f>3.39*2*0.888/1000*8</f>
        <v>4.8165119999999999E-2</v>
      </c>
      <c r="F39" s="90"/>
      <c r="G39" s="40"/>
    </row>
    <row r="40" spans="1:8">
      <c r="A40" s="32"/>
      <c r="B40" s="38" t="s">
        <v>19</v>
      </c>
      <c r="C40" s="32" t="s">
        <v>7</v>
      </c>
      <c r="D40" s="85"/>
      <c r="E40" s="84">
        <f>0.12*16*0.395/1000*8</f>
        <v>6.0672E-3</v>
      </c>
      <c r="F40" s="90"/>
      <c r="G40" s="40"/>
    </row>
    <row r="41" spans="1:8">
      <c r="A41" s="32"/>
      <c r="B41" s="42" t="s">
        <v>79</v>
      </c>
      <c r="C41" s="43"/>
      <c r="D41" s="90"/>
      <c r="E41" s="90"/>
      <c r="F41" s="90"/>
      <c r="G41" s="40"/>
    </row>
    <row r="42" spans="1:8">
      <c r="A42" s="32"/>
      <c r="B42" s="38" t="s">
        <v>20</v>
      </c>
      <c r="C42" s="32" t="s">
        <v>7</v>
      </c>
      <c r="D42" s="85"/>
      <c r="E42" s="84">
        <f>4.45*2*0.888/1000*46</f>
        <v>0.36354720000000001</v>
      </c>
      <c r="F42" s="90"/>
      <c r="G42" s="40"/>
    </row>
    <row r="43" spans="1:8">
      <c r="A43" s="32"/>
      <c r="B43" s="38" t="s">
        <v>19</v>
      </c>
      <c r="C43" s="32" t="s">
        <v>7</v>
      </c>
      <c r="D43" s="85"/>
      <c r="E43" s="84">
        <f>0.12*16*0.395/1000*46</f>
        <v>3.4886399999999998E-2</v>
      </c>
      <c r="F43" s="90"/>
      <c r="G43" s="40"/>
    </row>
    <row r="44" spans="1:8">
      <c r="A44" s="32"/>
      <c r="B44" s="42" t="s">
        <v>80</v>
      </c>
      <c r="C44" s="43"/>
      <c r="D44" s="90"/>
      <c r="E44" s="90"/>
      <c r="F44" s="90"/>
      <c r="G44" s="40"/>
    </row>
    <row r="45" spans="1:8">
      <c r="A45" s="32"/>
      <c r="B45" s="38" t="s">
        <v>20</v>
      </c>
      <c r="C45" s="32" t="s">
        <v>7</v>
      </c>
      <c r="D45" s="84">
        <f>1.69*2*0.888/1000*41</f>
        <v>0.12305904000000001</v>
      </c>
      <c r="E45" s="85"/>
      <c r="F45" s="90"/>
      <c r="G45" s="40"/>
    </row>
    <row r="46" spans="1:8">
      <c r="A46" s="32"/>
      <c r="B46" s="38" t="s">
        <v>19</v>
      </c>
      <c r="C46" s="32" t="s">
        <v>7</v>
      </c>
      <c r="D46" s="84">
        <f>0.16*8*0.395/1000*41</f>
        <v>2.0729600000000001E-2</v>
      </c>
      <c r="E46" s="85"/>
      <c r="F46" s="90"/>
      <c r="G46" s="40"/>
    </row>
    <row r="47" spans="1:8">
      <c r="A47" s="32"/>
      <c r="B47" s="42" t="s">
        <v>81</v>
      </c>
      <c r="C47" s="43"/>
      <c r="D47" s="90"/>
      <c r="E47" s="90"/>
      <c r="F47" s="90"/>
      <c r="G47" s="40"/>
    </row>
    <row r="48" spans="1:8">
      <c r="A48" s="32"/>
      <c r="B48" s="38" t="s">
        <v>20</v>
      </c>
      <c r="C48" s="32" t="s">
        <v>7</v>
      </c>
      <c r="D48" s="84">
        <f>1.96*2*0.888/1000*100</f>
        <v>0.34809600000000002</v>
      </c>
      <c r="E48" s="85"/>
      <c r="F48" s="90"/>
      <c r="G48" s="40"/>
    </row>
    <row r="49" spans="1:7">
      <c r="A49" s="32"/>
      <c r="B49" s="38" t="s">
        <v>19</v>
      </c>
      <c r="C49" s="32" t="s">
        <v>7</v>
      </c>
      <c r="D49" s="84">
        <f>0.16*9*0.395/1000*100</f>
        <v>5.6879999999999993E-2</v>
      </c>
      <c r="E49" s="85"/>
      <c r="F49" s="90"/>
      <c r="G49" s="40"/>
    </row>
    <row r="50" spans="1:7">
      <c r="A50" s="32"/>
      <c r="B50" s="42" t="s">
        <v>82</v>
      </c>
      <c r="C50" s="43"/>
      <c r="D50" s="90"/>
      <c r="E50" s="90"/>
      <c r="F50" s="90"/>
      <c r="G50" s="40"/>
    </row>
    <row r="51" spans="1:7">
      <c r="A51" s="32"/>
      <c r="B51" s="38" t="s">
        <v>20</v>
      </c>
      <c r="C51" s="32" t="s">
        <v>7</v>
      </c>
      <c r="D51" s="84">
        <f>3.1*2*0.888/1000*1544</f>
        <v>8.5006464000000008</v>
      </c>
      <c r="E51" s="85"/>
      <c r="F51" s="90"/>
      <c r="G51" s="40"/>
    </row>
    <row r="52" spans="1:7">
      <c r="A52" s="32"/>
      <c r="B52" s="38" t="s">
        <v>19</v>
      </c>
      <c r="C52" s="32" t="s">
        <v>7</v>
      </c>
      <c r="D52" s="84">
        <f>0.16*9*0.395/1000*1544</f>
        <v>0.87822719999999987</v>
      </c>
      <c r="E52" s="85"/>
      <c r="F52" s="90"/>
      <c r="G52" s="40"/>
    </row>
    <row r="53" spans="1:7">
      <c r="A53" s="32"/>
      <c r="B53" s="42" t="s">
        <v>83</v>
      </c>
      <c r="C53" s="43"/>
      <c r="D53" s="90"/>
      <c r="E53" s="90"/>
      <c r="F53" s="90"/>
      <c r="G53" s="40"/>
    </row>
    <row r="54" spans="1:7">
      <c r="A54" s="32"/>
      <c r="B54" s="38" t="s">
        <v>20</v>
      </c>
      <c r="C54" s="32" t="s">
        <v>7</v>
      </c>
      <c r="D54" s="85"/>
      <c r="E54" s="84">
        <f>2.52*2*0.888/1000*7</f>
        <v>3.1328640000000005E-2</v>
      </c>
      <c r="F54" s="90"/>
      <c r="G54" s="40"/>
    </row>
    <row r="55" spans="1:7">
      <c r="A55" s="32"/>
      <c r="B55" s="38" t="s">
        <v>19</v>
      </c>
      <c r="C55" s="32" t="s">
        <v>7</v>
      </c>
      <c r="D55" s="85"/>
      <c r="E55" s="84">
        <f>0.16*12*0.395/1000*7</f>
        <v>5.3087999999999998E-3</v>
      </c>
      <c r="F55" s="90"/>
      <c r="G55" s="40"/>
    </row>
    <row r="56" spans="1:7">
      <c r="A56" s="32"/>
      <c r="B56" s="42" t="s">
        <v>84</v>
      </c>
      <c r="C56" s="43"/>
      <c r="D56" s="90"/>
      <c r="E56" s="90"/>
      <c r="F56" s="90"/>
      <c r="G56" s="40"/>
    </row>
    <row r="57" spans="1:7">
      <c r="A57" s="32"/>
      <c r="B57" s="38" t="s">
        <v>20</v>
      </c>
      <c r="C57" s="32" t="s">
        <v>7</v>
      </c>
      <c r="D57" s="84">
        <f>2.83*2*0.888/1000*21</f>
        <v>0.10554768</v>
      </c>
      <c r="E57" s="85"/>
      <c r="F57" s="90"/>
      <c r="G57" s="40"/>
    </row>
    <row r="58" spans="1:7">
      <c r="A58" s="32"/>
      <c r="B58" s="38" t="s">
        <v>19</v>
      </c>
      <c r="C58" s="32" t="s">
        <v>7</v>
      </c>
      <c r="D58" s="84">
        <f>0.16*15*0.395/1000*21</f>
        <v>1.9907999999999999E-2</v>
      </c>
      <c r="E58" s="85"/>
      <c r="F58" s="90"/>
      <c r="G58" s="40"/>
    </row>
    <row r="59" spans="1:7">
      <c r="A59" s="32"/>
      <c r="B59" s="42" t="s">
        <v>85</v>
      </c>
      <c r="C59" s="43"/>
      <c r="D59" s="90"/>
      <c r="E59" s="90"/>
      <c r="F59" s="90"/>
      <c r="G59" s="40"/>
    </row>
    <row r="60" spans="1:7">
      <c r="A60" s="32"/>
      <c r="B60" s="38" t="s">
        <v>20</v>
      </c>
      <c r="C60" s="32" t="s">
        <v>7</v>
      </c>
      <c r="D60" s="85"/>
      <c r="E60" s="84">
        <f>3.17*2*0.888/1000*369</f>
        <v>2.0774404799999999</v>
      </c>
      <c r="F60" s="90"/>
      <c r="G60" s="40"/>
    </row>
    <row r="61" spans="1:7">
      <c r="A61" s="32"/>
      <c r="B61" s="38" t="s">
        <v>19</v>
      </c>
      <c r="C61" s="32" t="s">
        <v>7</v>
      </c>
      <c r="D61" s="85"/>
      <c r="E61" s="84">
        <f>0.16*15*0.395/1000*369</f>
        <v>0.34981199999999996</v>
      </c>
      <c r="F61" s="90"/>
      <c r="G61" s="40"/>
    </row>
    <row r="62" spans="1:7">
      <c r="A62" s="32"/>
      <c r="B62" s="42" t="s">
        <v>86</v>
      </c>
      <c r="C62" s="43"/>
      <c r="D62" s="90"/>
      <c r="E62" s="90"/>
      <c r="F62" s="90"/>
      <c r="G62" s="40"/>
    </row>
    <row r="63" spans="1:7">
      <c r="A63" s="32"/>
      <c r="B63" s="38" t="s">
        <v>20</v>
      </c>
      <c r="C63" s="32" t="s">
        <v>7</v>
      </c>
      <c r="D63" s="85"/>
      <c r="E63" s="84">
        <f>3.39*2*0.888/1000*790</f>
        <v>4.7563056000000001</v>
      </c>
      <c r="F63" s="90"/>
      <c r="G63" s="40"/>
    </row>
    <row r="64" spans="1:7">
      <c r="A64" s="32"/>
      <c r="B64" s="38" t="s">
        <v>19</v>
      </c>
      <c r="C64" s="32" t="s">
        <v>7</v>
      </c>
      <c r="D64" s="85"/>
      <c r="E64" s="84">
        <f>0.16*16*0.395/1000*790</f>
        <v>0.79884800000000011</v>
      </c>
      <c r="F64" s="90"/>
      <c r="G64" s="40"/>
    </row>
    <row r="65" spans="1:7">
      <c r="A65" s="32"/>
      <c r="B65" s="42" t="s">
        <v>87</v>
      </c>
      <c r="C65" s="43"/>
      <c r="D65" s="90"/>
      <c r="E65" s="90"/>
      <c r="F65" s="90"/>
      <c r="G65" s="40"/>
    </row>
    <row r="66" spans="1:7">
      <c r="A66" s="32"/>
      <c r="B66" s="38" t="s">
        <v>20</v>
      </c>
      <c r="C66" s="32" t="s">
        <v>7</v>
      </c>
      <c r="D66" s="85"/>
      <c r="E66" s="84">
        <f>4.45*2*0.888/1000*4476</f>
        <v>35.374723200000005</v>
      </c>
      <c r="F66" s="90"/>
      <c r="G66" s="40"/>
    </row>
    <row r="67" spans="1:7">
      <c r="A67" s="32"/>
      <c r="B67" s="38" t="s">
        <v>19</v>
      </c>
      <c r="C67" s="32" t="s">
        <v>7</v>
      </c>
      <c r="D67" s="85"/>
      <c r="E67" s="84">
        <f>0.16*16*0.395/1000*4476</f>
        <v>4.5261312</v>
      </c>
      <c r="F67" s="90"/>
      <c r="G67" s="40"/>
    </row>
    <row r="68" spans="1:7">
      <c r="A68" s="32"/>
      <c r="B68" s="42" t="s">
        <v>88</v>
      </c>
      <c r="C68" s="43"/>
      <c r="D68" s="90"/>
      <c r="E68" s="90"/>
      <c r="F68" s="90"/>
      <c r="G68" s="40"/>
    </row>
    <row r="69" spans="1:7">
      <c r="A69" s="32"/>
      <c r="B69" s="38" t="s">
        <v>20</v>
      </c>
      <c r="C69" s="32" t="s">
        <v>7</v>
      </c>
      <c r="D69" s="85"/>
      <c r="E69" s="84">
        <f>4.26*2*0.888/1000*25</f>
        <v>0.18914400000000001</v>
      </c>
      <c r="F69" s="90"/>
      <c r="G69" s="40"/>
    </row>
    <row r="70" spans="1:7">
      <c r="A70" s="32"/>
      <c r="B70" s="38" t="s">
        <v>19</v>
      </c>
      <c r="C70" s="32" t="s">
        <v>7</v>
      </c>
      <c r="D70" s="85"/>
      <c r="E70" s="84">
        <f>0.16*21*0.395/1000*25</f>
        <v>3.3180000000000001E-2</v>
      </c>
      <c r="F70" s="90"/>
      <c r="G70" s="40"/>
    </row>
    <row r="71" spans="1:7">
      <c r="A71" s="32"/>
      <c r="B71" s="42" t="s">
        <v>89</v>
      </c>
      <c r="C71" s="43"/>
      <c r="D71" s="90"/>
      <c r="E71" s="90"/>
      <c r="F71" s="90"/>
      <c r="G71" s="40"/>
    </row>
    <row r="72" spans="1:7">
      <c r="A72" s="32"/>
      <c r="B72" s="38" t="s">
        <v>20</v>
      </c>
      <c r="C72" s="32" t="s">
        <v>7</v>
      </c>
      <c r="D72" s="85"/>
      <c r="E72" s="84">
        <f>4.46*2*0.888/1000*7</f>
        <v>5.5446719999999998E-2</v>
      </c>
      <c r="F72" s="90"/>
      <c r="G72" s="40"/>
    </row>
    <row r="73" spans="1:7">
      <c r="A73" s="32"/>
      <c r="B73" s="38" t="s">
        <v>19</v>
      </c>
      <c r="C73" s="32" t="s">
        <v>7</v>
      </c>
      <c r="D73" s="85"/>
      <c r="E73" s="84">
        <f>0.16*22*0.395/1000*7</f>
        <v>9.7328000000000015E-3</v>
      </c>
      <c r="F73" s="90"/>
      <c r="G73" s="40"/>
    </row>
    <row r="74" spans="1:7">
      <c r="A74" s="32"/>
      <c r="B74" s="42" t="s">
        <v>93</v>
      </c>
      <c r="C74" s="43"/>
      <c r="D74" s="90"/>
      <c r="E74" s="90"/>
      <c r="F74" s="90"/>
      <c r="G74" s="40"/>
    </row>
    <row r="75" spans="1:7">
      <c r="A75" s="32"/>
      <c r="B75" s="38" t="s">
        <v>20</v>
      </c>
      <c r="C75" s="32" t="s">
        <v>7</v>
      </c>
      <c r="D75" s="85"/>
      <c r="E75" s="84">
        <f>2.27*2*0.888/1000*236</f>
        <v>0.95143872000000007</v>
      </c>
      <c r="F75" s="90"/>
      <c r="G75" s="40"/>
    </row>
    <row r="76" spans="1:7">
      <c r="A76" s="32"/>
      <c r="B76" s="38" t="s">
        <v>19</v>
      </c>
      <c r="C76" s="32" t="s">
        <v>7</v>
      </c>
      <c r="D76" s="85"/>
      <c r="E76" s="84">
        <f>0.26*11*0.395/1000*236</f>
        <v>0.26660920000000005</v>
      </c>
      <c r="F76" s="90"/>
      <c r="G76" s="40"/>
    </row>
    <row r="77" spans="1:7">
      <c r="A77" s="32"/>
      <c r="B77" s="42" t="s">
        <v>94</v>
      </c>
      <c r="C77" s="43"/>
      <c r="D77" s="90"/>
      <c r="E77" s="90"/>
      <c r="F77" s="90"/>
      <c r="G77" s="40"/>
    </row>
    <row r="78" spans="1:7">
      <c r="A78" s="32"/>
      <c r="B78" s="38" t="s">
        <v>20</v>
      </c>
      <c r="C78" s="32" t="s">
        <v>7</v>
      </c>
      <c r="D78" s="85"/>
      <c r="E78" s="84">
        <f>2.76*2*0.888/1000*56</f>
        <v>0.27449856</v>
      </c>
      <c r="F78" s="90"/>
      <c r="G78" s="40"/>
    </row>
    <row r="79" spans="1:7">
      <c r="A79" s="32"/>
      <c r="B79" s="38" t="s">
        <v>19</v>
      </c>
      <c r="C79" s="32" t="s">
        <v>7</v>
      </c>
      <c r="D79" s="85"/>
      <c r="E79" s="84">
        <f>0.26*13*0.395/1000*56</f>
        <v>7.4765599999999988E-2</v>
      </c>
      <c r="F79" s="90"/>
      <c r="G79" s="40"/>
    </row>
    <row r="80" spans="1:7">
      <c r="A80" s="32"/>
      <c r="B80" s="42" t="s">
        <v>95</v>
      </c>
      <c r="C80" s="43"/>
      <c r="D80" s="90"/>
      <c r="E80" s="90"/>
      <c r="F80" s="90"/>
      <c r="G80" s="40"/>
    </row>
    <row r="81" spans="1:7">
      <c r="A81" s="32"/>
      <c r="B81" s="38" t="s">
        <v>20</v>
      </c>
      <c r="C81" s="32" t="s">
        <v>7</v>
      </c>
      <c r="D81" s="85"/>
      <c r="E81" s="84">
        <f>3.52*2*0.888/1000*496</f>
        <v>3.1007539199999998</v>
      </c>
      <c r="F81" s="90"/>
      <c r="G81" s="40"/>
    </row>
    <row r="82" spans="1:7">
      <c r="A82" s="32"/>
      <c r="B82" s="38" t="s">
        <v>19</v>
      </c>
      <c r="C82" s="32" t="s">
        <v>7</v>
      </c>
      <c r="D82" s="85"/>
      <c r="E82" s="84">
        <f>0.26*17*0.395/1000*496</f>
        <v>0.86596640000000003</v>
      </c>
      <c r="F82" s="90"/>
      <c r="G82" s="40"/>
    </row>
    <row r="83" spans="1:7">
      <c r="A83" s="32"/>
      <c r="B83" s="42" t="s">
        <v>90</v>
      </c>
      <c r="C83" s="43"/>
      <c r="D83" s="90"/>
      <c r="E83" s="90"/>
      <c r="F83" s="90"/>
      <c r="G83" s="40"/>
    </row>
    <row r="84" spans="1:7">
      <c r="A84" s="32"/>
      <c r="B84" s="86" t="s">
        <v>17</v>
      </c>
      <c r="C84" s="32" t="s">
        <v>7</v>
      </c>
      <c r="D84" s="85"/>
      <c r="E84" s="84">
        <f>4.75*2*1.578/1000*186</f>
        <v>2.7883260000000001</v>
      </c>
      <c r="F84" s="90"/>
      <c r="G84" s="40"/>
    </row>
    <row r="85" spans="1:7">
      <c r="A85" s="32"/>
      <c r="B85" s="86" t="s">
        <v>19</v>
      </c>
      <c r="C85" s="32" t="s">
        <v>7</v>
      </c>
      <c r="D85" s="85"/>
      <c r="E85" s="84">
        <f>0.16*16*0.395/1000*186</f>
        <v>0.18808320000000001</v>
      </c>
      <c r="F85" s="90"/>
      <c r="G85" s="40"/>
    </row>
    <row r="86" spans="1:7">
      <c r="A86" s="32"/>
      <c r="B86" s="42" t="s">
        <v>91</v>
      </c>
      <c r="C86" s="43"/>
      <c r="D86" s="90"/>
      <c r="E86" s="90"/>
      <c r="F86" s="90"/>
      <c r="G86" s="40"/>
    </row>
    <row r="87" spans="1:7">
      <c r="A87" s="32"/>
      <c r="B87" s="86" t="s">
        <v>17</v>
      </c>
      <c r="C87" s="32" t="s">
        <v>7</v>
      </c>
      <c r="D87" s="84">
        <f>3.36*2*1.578/1000*80</f>
        <v>0.8483328</v>
      </c>
      <c r="E87" s="85"/>
      <c r="F87" s="90"/>
      <c r="G87" s="40"/>
    </row>
    <row r="88" spans="1:7">
      <c r="A88" s="32"/>
      <c r="B88" s="86" t="s">
        <v>18</v>
      </c>
      <c r="C88" s="32" t="s">
        <v>7</v>
      </c>
      <c r="D88" s="84">
        <f>0.36*9*0.617/1000*80</f>
        <v>0.1599264</v>
      </c>
      <c r="E88" s="85"/>
      <c r="F88" s="90"/>
      <c r="G88" s="40"/>
    </row>
    <row r="89" spans="1:7">
      <c r="A89" s="32"/>
      <c r="B89" s="42" t="s">
        <v>92</v>
      </c>
      <c r="C89" s="43"/>
      <c r="D89" s="90"/>
      <c r="E89" s="90"/>
      <c r="F89" s="90"/>
      <c r="G89" s="40"/>
    </row>
    <row r="90" spans="1:7">
      <c r="A90" s="32"/>
      <c r="B90" s="86" t="s">
        <v>17</v>
      </c>
      <c r="C90" s="32" t="s">
        <v>7</v>
      </c>
      <c r="D90" s="85"/>
      <c r="E90" s="84">
        <f>4.75*2*1.578/1000*40</f>
        <v>0.59964000000000006</v>
      </c>
      <c r="F90" s="90"/>
      <c r="G90" s="40"/>
    </row>
    <row r="91" spans="1:7">
      <c r="A91" s="32"/>
      <c r="B91" s="86" t="s">
        <v>18</v>
      </c>
      <c r="C91" s="32" t="s">
        <v>7</v>
      </c>
      <c r="D91" s="85"/>
      <c r="E91" s="84">
        <f>0.36*16*0.617/1000*40</f>
        <v>0.1421568</v>
      </c>
      <c r="F91" s="90"/>
      <c r="G91" s="40"/>
    </row>
    <row r="92" spans="1:7">
      <c r="A92" s="32"/>
      <c r="B92" s="42" t="s">
        <v>96</v>
      </c>
      <c r="C92" s="43"/>
      <c r="D92" s="90"/>
      <c r="E92" s="90"/>
      <c r="F92" s="90"/>
      <c r="G92" s="40"/>
    </row>
    <row r="93" spans="1:7">
      <c r="A93" s="32"/>
      <c r="B93" s="38" t="s">
        <v>20</v>
      </c>
      <c r="C93" s="32" t="s">
        <v>7</v>
      </c>
      <c r="D93" s="85"/>
      <c r="E93" s="84">
        <f>1.11*2*0.888/1000*7</f>
        <v>1.3799520000000001E-2</v>
      </c>
      <c r="F93" s="90"/>
      <c r="G93" s="40"/>
    </row>
    <row r="94" spans="1:7">
      <c r="A94" s="32"/>
      <c r="B94" s="38" t="s">
        <v>19</v>
      </c>
      <c r="C94" s="32" t="s">
        <v>7</v>
      </c>
      <c r="D94" s="85"/>
      <c r="E94" s="84">
        <f>0.16*5*0.395/1000*7</f>
        <v>2.2120000000000004E-3</v>
      </c>
      <c r="F94" s="90"/>
      <c r="G94" s="40"/>
    </row>
    <row r="95" spans="1:7">
      <c r="A95" s="32"/>
      <c r="B95" s="42" t="s">
        <v>96</v>
      </c>
      <c r="C95" s="43"/>
      <c r="D95" s="90"/>
      <c r="E95" s="90"/>
      <c r="F95" s="90"/>
      <c r="G95" s="40"/>
    </row>
    <row r="96" spans="1:7">
      <c r="A96" s="32"/>
      <c r="B96" s="38" t="s">
        <v>20</v>
      </c>
      <c r="C96" s="32" t="s">
        <v>7</v>
      </c>
      <c r="D96" s="85"/>
      <c r="E96" s="84">
        <f>1.11*2*0.888/1000*44</f>
        <v>8.6739840000000012E-2</v>
      </c>
      <c r="F96" s="90"/>
      <c r="G96" s="40"/>
    </row>
    <row r="97" spans="1:7">
      <c r="A97" s="32"/>
      <c r="B97" s="38" t="s">
        <v>19</v>
      </c>
      <c r="C97" s="32" t="s">
        <v>7</v>
      </c>
      <c r="D97" s="85"/>
      <c r="E97" s="84">
        <f>0.16*5*0.395/1000*44</f>
        <v>1.3904000000000001E-2</v>
      </c>
      <c r="F97" s="90"/>
      <c r="G97" s="40"/>
    </row>
    <row r="98" spans="1:7">
      <c r="A98" s="32"/>
      <c r="B98" s="42" t="s">
        <v>97</v>
      </c>
      <c r="C98" s="43"/>
      <c r="D98" s="90"/>
      <c r="E98" s="90"/>
      <c r="F98" s="90"/>
      <c r="G98" s="40"/>
    </row>
    <row r="99" spans="1:7">
      <c r="A99" s="32"/>
      <c r="B99" s="38" t="s">
        <v>20</v>
      </c>
      <c r="C99" s="32" t="s">
        <v>7</v>
      </c>
      <c r="D99" s="85"/>
      <c r="E99" s="84">
        <f>2.15*2*0.888/1000*56</f>
        <v>0.2138304</v>
      </c>
      <c r="F99" s="90"/>
      <c r="G99" s="40"/>
    </row>
    <row r="100" spans="1:7">
      <c r="A100" s="32"/>
      <c r="B100" s="38" t="s">
        <v>19</v>
      </c>
      <c r="C100" s="32" t="s">
        <v>7</v>
      </c>
      <c r="D100" s="85"/>
      <c r="E100" s="84">
        <f>0.16*5*0.395/1000*56</f>
        <v>1.7696000000000003E-2</v>
      </c>
      <c r="F100" s="90"/>
      <c r="G100" s="40"/>
    </row>
    <row r="101" spans="1:7">
      <c r="A101" s="32"/>
      <c r="B101" s="42" t="s">
        <v>98</v>
      </c>
      <c r="C101" s="43"/>
      <c r="D101" s="90"/>
      <c r="E101" s="90"/>
      <c r="F101" s="90"/>
      <c r="G101" s="40"/>
    </row>
    <row r="102" spans="1:7">
      <c r="A102" s="32"/>
      <c r="B102" s="38" t="s">
        <v>20</v>
      </c>
      <c r="C102" s="32" t="s">
        <v>7</v>
      </c>
      <c r="D102" s="85"/>
      <c r="E102" s="84">
        <f>1.21*2*0.888/1000*7</f>
        <v>1.5042719999999997E-2</v>
      </c>
      <c r="F102" s="90"/>
      <c r="G102" s="40"/>
    </row>
    <row r="103" spans="1:7">
      <c r="A103" s="32"/>
      <c r="B103" s="38" t="s">
        <v>19</v>
      </c>
      <c r="C103" s="32" t="s">
        <v>7</v>
      </c>
      <c r="D103" s="85"/>
      <c r="E103" s="84">
        <f>0.16*6*0.395/1000*7</f>
        <v>2.6543999999999999E-3</v>
      </c>
      <c r="F103" s="90"/>
      <c r="G103" s="40"/>
    </row>
    <row r="104" spans="1:7">
      <c r="A104" s="32"/>
      <c r="B104" s="42" t="s">
        <v>99</v>
      </c>
      <c r="C104" s="43"/>
      <c r="D104" s="90"/>
      <c r="E104" s="90"/>
      <c r="F104" s="90"/>
      <c r="G104" s="40"/>
    </row>
    <row r="105" spans="1:7">
      <c r="A105" s="32"/>
      <c r="B105" s="38" t="s">
        <v>20</v>
      </c>
      <c r="C105" s="32" t="s">
        <v>7</v>
      </c>
      <c r="D105" s="85"/>
      <c r="E105" s="84">
        <f>0.67*2*0.888/1000*6</f>
        <v>7.1395200000000008E-3</v>
      </c>
      <c r="F105" s="90"/>
      <c r="G105" s="40"/>
    </row>
    <row r="106" spans="1:7">
      <c r="A106" s="32"/>
      <c r="B106" s="38" t="s">
        <v>19</v>
      </c>
      <c r="C106" s="32" t="s">
        <v>7</v>
      </c>
      <c r="D106" s="85"/>
      <c r="E106" s="84">
        <f>0.16*3*0.395/1000*6</f>
        <v>1.1375999999999999E-3</v>
      </c>
      <c r="F106" s="90"/>
      <c r="G106" s="40"/>
    </row>
    <row r="107" spans="1:7">
      <c r="A107" s="32"/>
      <c r="B107" s="42" t="s">
        <v>100</v>
      </c>
      <c r="C107" s="43"/>
      <c r="D107" s="90"/>
      <c r="E107" s="90"/>
      <c r="F107" s="90"/>
      <c r="G107" s="40"/>
    </row>
    <row r="108" spans="1:7">
      <c r="A108" s="32"/>
      <c r="B108" s="38" t="s">
        <v>20</v>
      </c>
      <c r="C108" s="32" t="s">
        <v>7</v>
      </c>
      <c r="D108" s="85"/>
      <c r="E108" s="84">
        <f>1.1*2*0.888/1000*12</f>
        <v>2.3443200000000004E-2</v>
      </c>
      <c r="F108" s="90"/>
      <c r="G108" s="40"/>
    </row>
    <row r="109" spans="1:7">
      <c r="A109" s="32"/>
      <c r="B109" s="38" t="s">
        <v>19</v>
      </c>
      <c r="C109" s="32" t="s">
        <v>7</v>
      </c>
      <c r="D109" s="85"/>
      <c r="E109" s="84">
        <f>0.16*6*0.395/1000*12</f>
        <v>4.5503999999999996E-3</v>
      </c>
      <c r="F109" s="90"/>
      <c r="G109" s="40"/>
    </row>
    <row r="110" spans="1:7">
      <c r="A110" s="32"/>
      <c r="B110" s="42" t="s">
        <v>101</v>
      </c>
      <c r="C110" s="43"/>
      <c r="D110" s="90"/>
      <c r="E110" s="90"/>
      <c r="F110" s="90"/>
      <c r="G110" s="40"/>
    </row>
    <row r="111" spans="1:7">
      <c r="A111" s="32"/>
      <c r="B111" s="38" t="s">
        <v>20</v>
      </c>
      <c r="C111" s="32" t="s">
        <v>7</v>
      </c>
      <c r="D111" s="85"/>
      <c r="E111" s="84">
        <f>1.24*2*0.888/1000*20</f>
        <v>4.4044800000000009E-2</v>
      </c>
      <c r="F111" s="90"/>
      <c r="G111" s="40"/>
    </row>
    <row r="112" spans="1:7">
      <c r="A112" s="32"/>
      <c r="B112" s="38" t="s">
        <v>19</v>
      </c>
      <c r="C112" s="32" t="s">
        <v>7</v>
      </c>
      <c r="D112" s="85"/>
      <c r="E112" s="84">
        <f>0.16*6*0.395/1000*20</f>
        <v>7.5840000000000005E-3</v>
      </c>
      <c r="F112" s="90"/>
      <c r="G112" s="40"/>
    </row>
    <row r="113" spans="1:7">
      <c r="A113" s="33">
        <v>4</v>
      </c>
      <c r="B113" s="88" t="s">
        <v>103</v>
      </c>
      <c r="C113" s="32"/>
      <c r="D113" s="85"/>
      <c r="E113" s="85"/>
      <c r="F113" s="90"/>
      <c r="G113" s="40"/>
    </row>
    <row r="114" spans="1:7">
      <c r="A114" s="32"/>
      <c r="B114" s="38" t="s">
        <v>102</v>
      </c>
      <c r="C114" s="32" t="s">
        <v>0</v>
      </c>
      <c r="D114" s="90"/>
      <c r="E114" s="84">
        <v>0.35</v>
      </c>
      <c r="F114" s="89">
        <f>D114+E114</f>
        <v>0.35</v>
      </c>
      <c r="G114" s="40"/>
    </row>
    <row r="115" spans="1:7">
      <c r="A115" s="32"/>
      <c r="B115" s="5" t="s">
        <v>46</v>
      </c>
      <c r="C115" s="32" t="s">
        <v>0</v>
      </c>
      <c r="D115" s="39"/>
      <c r="E115" s="84">
        <v>2.14</v>
      </c>
      <c r="F115" s="89">
        <f>D115+E115</f>
        <v>2.14</v>
      </c>
      <c r="G115" s="34"/>
    </row>
    <row r="116" spans="1:7">
      <c r="A116" s="33">
        <v>5</v>
      </c>
      <c r="B116" s="88" t="s">
        <v>104</v>
      </c>
      <c r="C116" s="32"/>
      <c r="D116" s="85"/>
      <c r="E116" s="85"/>
      <c r="F116" s="44"/>
      <c r="G116" s="40"/>
    </row>
    <row r="117" spans="1:7">
      <c r="A117" s="32"/>
      <c r="B117" s="38" t="s">
        <v>20</v>
      </c>
      <c r="C117" s="32" t="s">
        <v>7</v>
      </c>
      <c r="D117" s="84">
        <f>128*0.888/1000</f>
        <v>0.113664</v>
      </c>
      <c r="E117" s="84">
        <f>205*0.888/1000</f>
        <v>0.18203999999999998</v>
      </c>
      <c r="F117" s="89">
        <f>D117+E117</f>
        <v>0.29570399999999997</v>
      </c>
      <c r="G117" s="40"/>
    </row>
    <row r="119" spans="1:7">
      <c r="A119" s="203" t="s">
        <v>64</v>
      </c>
      <c r="B119" s="203"/>
      <c r="C119" s="203"/>
      <c r="D119" s="203"/>
      <c r="E119" s="203"/>
      <c r="F119" s="203"/>
      <c r="G119" s="203"/>
    </row>
    <row r="120" spans="1:7">
      <c r="G120" s="48">
        <v>46267</v>
      </c>
    </row>
    <row r="129" ht="27" customHeight="1"/>
  </sheetData>
  <mergeCells count="12">
    <mergeCell ref="A119:G119"/>
    <mergeCell ref="A5:A6"/>
    <mergeCell ref="B5:B6"/>
    <mergeCell ref="C5:C6"/>
    <mergeCell ref="F5:F6"/>
    <mergeCell ref="G5:G6"/>
    <mergeCell ref="A1:G1"/>
    <mergeCell ref="A2:G2"/>
    <mergeCell ref="A3:G3"/>
    <mergeCell ref="D5:D6"/>
    <mergeCell ref="E5:E6"/>
    <mergeCell ref="A4:B4"/>
  </mergeCells>
  <phoneticPr fontId="7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38"/>
  <sheetViews>
    <sheetView zoomScaleNormal="100" workbookViewId="0">
      <selection activeCell="F26" sqref="F26:F29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5" width="9.42578125" style="28" bestFit="1" customWidth="1"/>
    <col min="6" max="6" width="13.5703125" style="37" customWidth="1"/>
    <col min="7" max="7" width="17.5703125" style="47" customWidth="1"/>
    <col min="8" max="8" width="13.140625" style="28" bestFit="1" customWidth="1"/>
    <col min="9" max="16384" width="9.140625" style="28"/>
  </cols>
  <sheetData>
    <row r="1" spans="1:8" ht="15.7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7.5" customHeight="1">
      <c r="A2" s="198" t="s">
        <v>47</v>
      </c>
      <c r="B2" s="198"/>
      <c r="C2" s="198"/>
      <c r="D2" s="198"/>
      <c r="E2" s="198"/>
      <c r="F2" s="198"/>
      <c r="G2" s="198"/>
    </row>
    <row r="3" spans="1:8" ht="15" customHeight="1">
      <c r="A3" s="199" t="s">
        <v>48</v>
      </c>
      <c r="B3" s="199"/>
      <c r="C3" s="199"/>
      <c r="D3" s="199"/>
      <c r="E3" s="199"/>
      <c r="F3" s="199"/>
      <c r="G3" s="199"/>
    </row>
    <row r="4" spans="1:8" ht="19.5" customHeight="1">
      <c r="A4" s="205" t="s">
        <v>50</v>
      </c>
      <c r="B4" s="205"/>
      <c r="C4" s="2"/>
      <c r="D4" s="2"/>
      <c r="E4" s="2"/>
      <c r="F4" s="2"/>
      <c r="G4" s="2"/>
    </row>
    <row r="5" spans="1:8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8" s="29" customFormat="1" ht="15.75" customHeight="1">
      <c r="A6" s="202"/>
      <c r="B6" s="202"/>
      <c r="C6" s="202"/>
      <c r="D6" s="202"/>
      <c r="E6" s="202"/>
      <c r="F6" s="202"/>
      <c r="G6" s="204"/>
    </row>
    <row r="7" spans="1:8" ht="15.75">
      <c r="A7" s="30">
        <v>1</v>
      </c>
      <c r="B7" s="31" t="s">
        <v>106</v>
      </c>
      <c r="C7" s="32"/>
      <c r="D7" s="32"/>
      <c r="E7" s="32"/>
      <c r="F7" s="33"/>
      <c r="G7" s="34"/>
    </row>
    <row r="8" spans="1:8" s="37" customFormat="1" ht="16.5" customHeight="1">
      <c r="A8" s="33"/>
      <c r="B8" s="35" t="s">
        <v>24</v>
      </c>
      <c r="C8" s="33" t="s">
        <v>0</v>
      </c>
      <c r="D8" s="92">
        <v>248.4</v>
      </c>
      <c r="E8" s="92">
        <v>752.3</v>
      </c>
      <c r="F8" s="83">
        <f>D8+E8</f>
        <v>1000.6999999999999</v>
      </c>
      <c r="G8" s="206" t="s">
        <v>114</v>
      </c>
      <c r="H8" s="36">
        <f>SUM(F9:F16,F19:F22,F26:F29)</f>
        <v>109.86634820000003</v>
      </c>
    </row>
    <row r="9" spans="1:8" s="37" customFormat="1" ht="16.5" customHeight="1">
      <c r="A9" s="33"/>
      <c r="B9" s="38" t="s">
        <v>21</v>
      </c>
      <c r="C9" s="32" t="s">
        <v>7</v>
      </c>
      <c r="D9" s="32"/>
      <c r="E9" s="93">
        <f>28.1*0.222/1000</f>
        <v>6.2382000000000002E-3</v>
      </c>
      <c r="F9" s="84">
        <f>D9+E9</f>
        <v>6.2382000000000002E-3</v>
      </c>
      <c r="G9" s="207"/>
      <c r="H9" s="37">
        <f>H8/F8</f>
        <v>0.10978949555311286</v>
      </c>
    </row>
    <row r="10" spans="1:8" s="37" customFormat="1" ht="16.5" customHeight="1">
      <c r="A10" s="33"/>
      <c r="B10" s="38" t="s">
        <v>23</v>
      </c>
      <c r="C10" s="32" t="s">
        <v>7</v>
      </c>
      <c r="D10" s="84">
        <f>(15.7)*0.395/1000</f>
        <v>6.2015000000000004E-3</v>
      </c>
      <c r="E10" s="32"/>
      <c r="F10" s="84">
        <f t="shared" ref="F10:F16" si="0">D10+E10</f>
        <v>6.2015000000000004E-3</v>
      </c>
      <c r="G10" s="207"/>
    </row>
    <row r="11" spans="1:8" s="37" customFormat="1" ht="16.5" customHeight="1">
      <c r="A11" s="33"/>
      <c r="B11" s="38" t="s">
        <v>19</v>
      </c>
      <c r="C11" s="32" t="s">
        <v>7</v>
      </c>
      <c r="D11" s="84">
        <f>(3435+44.2+999.3+1.09*1920+12498.6)*0.395/1000</f>
        <v>7.5326105000000005</v>
      </c>
      <c r="E11" s="84">
        <f>(401.1+103.1+1441.2+40154.7+1.21*5817)*0.395/1000</f>
        <v>19.409774649999999</v>
      </c>
      <c r="F11" s="84">
        <f t="shared" si="0"/>
        <v>26.94238515</v>
      </c>
      <c r="G11" s="207"/>
    </row>
    <row r="12" spans="1:8" s="37" customFormat="1" ht="16.5" customHeight="1">
      <c r="A12" s="33"/>
      <c r="B12" s="38" t="s">
        <v>20</v>
      </c>
      <c r="C12" s="32" t="s">
        <v>7</v>
      </c>
      <c r="D12" s="84">
        <f>15851.9*0.888/1000</f>
        <v>14.076487199999999</v>
      </c>
      <c r="E12" s="84">
        <f>44840*0.888/1000</f>
        <v>39.817920000000001</v>
      </c>
      <c r="F12" s="84">
        <f t="shared" si="0"/>
        <v>53.894407200000003</v>
      </c>
      <c r="G12" s="207"/>
    </row>
    <row r="13" spans="1:8" s="37" customFormat="1" ht="16.5" customHeight="1">
      <c r="A13" s="33"/>
      <c r="B13" s="38" t="s">
        <v>17</v>
      </c>
      <c r="C13" s="32" t="s">
        <v>7</v>
      </c>
      <c r="D13" s="84">
        <f>2306.5*1.578/1000</f>
        <v>3.6396570000000001</v>
      </c>
      <c r="E13" s="84">
        <f>4652.9*1.578/1000</f>
        <v>7.3422761999999997</v>
      </c>
      <c r="F13" s="84">
        <f t="shared" si="0"/>
        <v>10.9819332</v>
      </c>
      <c r="G13" s="207"/>
    </row>
    <row r="14" spans="1:8" s="37" customFormat="1" ht="16.5" customHeight="1">
      <c r="A14" s="33"/>
      <c r="B14" s="38" t="s">
        <v>22</v>
      </c>
      <c r="C14" s="32" t="s">
        <v>7</v>
      </c>
      <c r="D14" s="39"/>
      <c r="E14" s="84">
        <f>580.3*2.466/1000</f>
        <v>1.4310198000000001</v>
      </c>
      <c r="F14" s="84">
        <f t="shared" si="0"/>
        <v>1.4310198000000001</v>
      </c>
      <c r="G14" s="207"/>
    </row>
    <row r="15" spans="1:8" s="37" customFormat="1" ht="16.5" customHeight="1">
      <c r="A15" s="33"/>
      <c r="B15" s="38" t="s">
        <v>26</v>
      </c>
      <c r="C15" s="32" t="s">
        <v>7</v>
      </c>
      <c r="D15" s="84">
        <f>856.5*3.85/1000</f>
        <v>3.2975250000000003</v>
      </c>
      <c r="E15" s="84">
        <f>297.3*3.85/1000</f>
        <v>1.1446050000000001</v>
      </c>
      <c r="F15" s="84">
        <f t="shared" si="0"/>
        <v>4.4421300000000006</v>
      </c>
      <c r="G15" s="207"/>
    </row>
    <row r="16" spans="1:8" s="37" customFormat="1" ht="16.5" customHeight="1">
      <c r="A16" s="33"/>
      <c r="B16" s="38" t="s">
        <v>107</v>
      </c>
      <c r="C16" s="32" t="s">
        <v>7</v>
      </c>
      <c r="D16" s="93">
        <f>0.2*9*5.228/1000</f>
        <v>9.4103999999999993E-3</v>
      </c>
      <c r="E16" s="93">
        <f>0.2*5*5.228/1000</f>
        <v>5.228E-3</v>
      </c>
      <c r="F16" s="84">
        <f t="shared" si="0"/>
        <v>1.4638399999999999E-2</v>
      </c>
      <c r="G16" s="207"/>
    </row>
    <row r="17" spans="1:7" s="37" customFormat="1" ht="16.5" customHeight="1">
      <c r="A17" s="30">
        <v>2</v>
      </c>
      <c r="B17" s="31" t="s">
        <v>108</v>
      </c>
      <c r="C17" s="32"/>
      <c r="D17" s="32"/>
      <c r="E17" s="32"/>
      <c r="F17" s="32"/>
      <c r="G17" s="207"/>
    </row>
    <row r="18" spans="1:7" s="37" customFormat="1" ht="16.5" customHeight="1">
      <c r="A18" s="33"/>
      <c r="B18" s="35" t="s">
        <v>45</v>
      </c>
      <c r="C18" s="33" t="s">
        <v>0</v>
      </c>
      <c r="D18" s="32"/>
      <c r="E18" s="92">
        <v>122.6</v>
      </c>
      <c r="F18" s="83">
        <f t="shared" ref="F18:F23" si="1">D18+E18</f>
        <v>122.6</v>
      </c>
      <c r="G18" s="207"/>
    </row>
    <row r="19" spans="1:7" s="37" customFormat="1" ht="16.5" customHeight="1">
      <c r="A19" s="33"/>
      <c r="B19" s="38" t="s">
        <v>21</v>
      </c>
      <c r="C19" s="32" t="s">
        <v>7</v>
      </c>
      <c r="D19" s="32"/>
      <c r="E19" s="93">
        <f>148.7*0.222/1000</f>
        <v>3.3011399999999996E-2</v>
      </c>
      <c r="F19" s="84">
        <f t="shared" si="1"/>
        <v>3.3011399999999996E-2</v>
      </c>
      <c r="G19" s="207"/>
    </row>
    <row r="20" spans="1:7" s="37" customFormat="1" ht="16.5" customHeight="1">
      <c r="A20" s="33"/>
      <c r="B20" s="38" t="s">
        <v>23</v>
      </c>
      <c r="C20" s="32" t="s">
        <v>7</v>
      </c>
      <c r="D20" s="32"/>
      <c r="E20" s="84">
        <f>841.4*0.395/1000</f>
        <v>0.33235300000000001</v>
      </c>
      <c r="F20" s="84">
        <f t="shared" si="1"/>
        <v>0.33235300000000001</v>
      </c>
      <c r="G20" s="207"/>
    </row>
    <row r="21" spans="1:7">
      <c r="A21" s="32"/>
      <c r="B21" s="38" t="s">
        <v>19</v>
      </c>
      <c r="C21" s="32" t="s">
        <v>7</v>
      </c>
      <c r="D21" s="32"/>
      <c r="E21" s="84">
        <f>(290.2+425.7+1.21*544+2050.4)*0.395/1000</f>
        <v>1.3526933000000001</v>
      </c>
      <c r="F21" s="84">
        <f t="shared" si="1"/>
        <v>1.3526933000000001</v>
      </c>
      <c r="G21" s="207"/>
    </row>
    <row r="22" spans="1:7">
      <c r="A22" s="32"/>
      <c r="B22" s="38" t="s">
        <v>20</v>
      </c>
      <c r="C22" s="32" t="s">
        <v>7</v>
      </c>
      <c r="D22" s="32"/>
      <c r="E22" s="84">
        <f>(329.6+446.2+7967.2)*0.888/1000</f>
        <v>7.7637839999999994</v>
      </c>
      <c r="F22" s="84">
        <f t="shared" si="1"/>
        <v>7.7637839999999994</v>
      </c>
      <c r="G22" s="207"/>
    </row>
    <row r="23" spans="1:7">
      <c r="A23" s="32"/>
      <c r="B23" s="38" t="s">
        <v>109</v>
      </c>
      <c r="C23" s="32" t="s">
        <v>6</v>
      </c>
      <c r="D23" s="32"/>
      <c r="E23" s="87">
        <f>(26.1+11.76)*2</f>
        <v>75.72</v>
      </c>
      <c r="F23" s="84">
        <f t="shared" si="1"/>
        <v>75.72</v>
      </c>
      <c r="G23" s="207"/>
    </row>
    <row r="24" spans="1:7" ht="15.75">
      <c r="A24" s="30">
        <v>3</v>
      </c>
      <c r="B24" s="31" t="s">
        <v>110</v>
      </c>
      <c r="C24" s="32"/>
      <c r="D24" s="32"/>
      <c r="E24" s="32"/>
      <c r="F24" s="32"/>
      <c r="G24" s="207"/>
    </row>
    <row r="25" spans="1:7">
      <c r="A25" s="33"/>
      <c r="B25" s="35" t="s">
        <v>45</v>
      </c>
      <c r="C25" s="33" t="s">
        <v>0</v>
      </c>
      <c r="D25" s="32"/>
      <c r="E25" s="92">
        <v>32.299999999999997</v>
      </c>
      <c r="F25" s="83">
        <f t="shared" ref="F25:F30" si="2">D25+E25</f>
        <v>32.299999999999997</v>
      </c>
      <c r="G25" s="207"/>
    </row>
    <row r="26" spans="1:7">
      <c r="A26" s="33"/>
      <c r="B26" s="38" t="s">
        <v>21</v>
      </c>
      <c r="C26" s="32" t="s">
        <v>7</v>
      </c>
      <c r="D26" s="32"/>
      <c r="E26" s="93">
        <f>65*0.222/1000</f>
        <v>1.443E-2</v>
      </c>
      <c r="F26" s="84">
        <f t="shared" si="2"/>
        <v>1.443E-2</v>
      </c>
      <c r="G26" s="207"/>
    </row>
    <row r="27" spans="1:7">
      <c r="A27" s="33"/>
      <c r="B27" s="38" t="s">
        <v>23</v>
      </c>
      <c r="C27" s="32" t="s">
        <v>7</v>
      </c>
      <c r="D27" s="32"/>
      <c r="E27" s="32"/>
      <c r="F27" s="84">
        <f t="shared" si="2"/>
        <v>0</v>
      </c>
      <c r="G27" s="207"/>
    </row>
    <row r="28" spans="1:7">
      <c r="A28" s="32"/>
      <c r="B28" s="38" t="s">
        <v>19</v>
      </c>
      <c r="C28" s="32" t="s">
        <v>7</v>
      </c>
      <c r="D28" s="32"/>
      <c r="E28" s="84">
        <f>(200.9+301.3+1.21*135+959.6)*0.395/1000</f>
        <v>0.64193425000000004</v>
      </c>
      <c r="F28" s="84">
        <f t="shared" si="2"/>
        <v>0.64193425000000004</v>
      </c>
      <c r="G28" s="207"/>
    </row>
    <row r="29" spans="1:7">
      <c r="A29" s="32"/>
      <c r="B29" s="38" t="s">
        <v>20</v>
      </c>
      <c r="C29" s="32" t="s">
        <v>7</v>
      </c>
      <c r="D29" s="32"/>
      <c r="E29" s="84">
        <f>(123.3+213.9+1925.4)*0.888/1000</f>
        <v>2.0091888</v>
      </c>
      <c r="F29" s="84">
        <f t="shared" si="2"/>
        <v>2.0091888</v>
      </c>
      <c r="G29" s="207"/>
    </row>
    <row r="30" spans="1:7">
      <c r="A30" s="32"/>
      <c r="B30" s="38" t="s">
        <v>109</v>
      </c>
      <c r="C30" s="32" t="s">
        <v>6</v>
      </c>
      <c r="D30" s="32"/>
      <c r="E30" s="87">
        <f>(10.62+7.55)*2</f>
        <v>36.339999999999996</v>
      </c>
      <c r="F30" s="84">
        <f t="shared" si="2"/>
        <v>36.339999999999996</v>
      </c>
      <c r="G30" s="208"/>
    </row>
    <row r="31" spans="1:7" ht="15.75">
      <c r="A31" s="30">
        <v>4</v>
      </c>
      <c r="B31" s="31" t="s">
        <v>111</v>
      </c>
      <c r="C31" s="32"/>
      <c r="D31" s="32"/>
      <c r="E31" s="32"/>
      <c r="F31" s="32"/>
      <c r="G31" s="45"/>
    </row>
    <row r="32" spans="1:7">
      <c r="A32" s="32"/>
      <c r="B32" s="38" t="s">
        <v>112</v>
      </c>
      <c r="C32" s="32" t="s">
        <v>0</v>
      </c>
      <c r="D32" s="95">
        <v>2.8</v>
      </c>
      <c r="E32" s="32"/>
      <c r="F32" s="84">
        <f>D32+E32</f>
        <v>2.8</v>
      </c>
      <c r="G32" s="45"/>
    </row>
    <row r="33" spans="1:7">
      <c r="A33" s="32"/>
      <c r="B33" s="38" t="s">
        <v>102</v>
      </c>
      <c r="C33" s="32" t="s">
        <v>0</v>
      </c>
      <c r="D33" s="95">
        <v>1.2</v>
      </c>
      <c r="E33" s="32"/>
      <c r="F33" s="84">
        <f>D33+E33</f>
        <v>1.2</v>
      </c>
      <c r="G33" s="45"/>
    </row>
    <row r="34" spans="1:7">
      <c r="A34" s="32"/>
      <c r="B34" s="38" t="s">
        <v>113</v>
      </c>
      <c r="C34" s="32" t="s">
        <v>1</v>
      </c>
      <c r="D34" s="32"/>
      <c r="E34" s="87">
        <f>(26.1+11.76+10.62+7.55)*2*0.8</f>
        <v>89.647999999999996</v>
      </c>
      <c r="F34" s="84">
        <f>D34+E34</f>
        <v>89.647999999999996</v>
      </c>
      <c r="G34" s="45"/>
    </row>
    <row r="37" spans="1:7" ht="27" customHeight="1">
      <c r="A37" s="203" t="s">
        <v>64</v>
      </c>
      <c r="B37" s="203"/>
      <c r="C37" s="203"/>
      <c r="D37" s="203"/>
      <c r="E37" s="203"/>
      <c r="F37" s="203"/>
      <c r="G37" s="203"/>
    </row>
    <row r="38" spans="1:7">
      <c r="G38" s="48">
        <v>46268</v>
      </c>
    </row>
  </sheetData>
  <mergeCells count="13">
    <mergeCell ref="G8:G30"/>
    <mergeCell ref="A37:G37"/>
    <mergeCell ref="A5:A6"/>
    <mergeCell ref="B5:B6"/>
    <mergeCell ref="C5:C6"/>
    <mergeCell ref="F5:F6"/>
    <mergeCell ref="G5:G6"/>
    <mergeCell ref="A4:B4"/>
    <mergeCell ref="A1:G1"/>
    <mergeCell ref="A2:G2"/>
    <mergeCell ref="A3:G3"/>
    <mergeCell ref="D5:D6"/>
    <mergeCell ref="E5:E6"/>
  </mergeCells>
  <phoneticPr fontId="7" type="noConversion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1277-C1A9-4775-98D7-CE7835DAFD31}">
  <sheetPr>
    <tabColor rgb="FF92D050"/>
  </sheetPr>
  <dimension ref="A1:I119"/>
  <sheetViews>
    <sheetView topLeftCell="A64" zoomScaleNormal="100" workbookViewId="0">
      <selection activeCell="D46" sqref="D46:E46"/>
    </sheetView>
  </sheetViews>
  <sheetFormatPr defaultRowHeight="15"/>
  <cols>
    <col min="1" max="1" width="4.85546875" style="28" customWidth="1"/>
    <col min="2" max="2" width="75" style="46" customWidth="1"/>
    <col min="3" max="5" width="9.140625" style="28"/>
    <col min="6" max="6" width="13.5703125" style="37" customWidth="1"/>
    <col min="7" max="7" width="11.7109375" style="47" customWidth="1"/>
    <col min="8" max="8" width="13.140625" style="28" bestFit="1" customWidth="1"/>
    <col min="9" max="16384" width="9.140625" style="28"/>
  </cols>
  <sheetData>
    <row r="1" spans="1:9" ht="15.75" customHeight="1">
      <c r="A1" s="198" t="s">
        <v>49</v>
      </c>
      <c r="B1" s="198"/>
      <c r="C1" s="198"/>
      <c r="D1" s="198"/>
      <c r="E1" s="198"/>
      <c r="F1" s="198"/>
      <c r="G1" s="198"/>
      <c r="H1" s="80"/>
      <c r="I1" s="80"/>
    </row>
    <row r="2" spans="1:9" ht="37.5" customHeight="1">
      <c r="A2" s="198" t="s">
        <v>47</v>
      </c>
      <c r="B2" s="198"/>
      <c r="C2" s="198"/>
      <c r="D2" s="198"/>
      <c r="E2" s="198"/>
      <c r="F2" s="198"/>
      <c r="G2" s="198"/>
      <c r="H2" s="80"/>
      <c r="I2" s="80"/>
    </row>
    <row r="3" spans="1:9" ht="15" customHeight="1">
      <c r="A3" s="199" t="s">
        <v>48</v>
      </c>
      <c r="B3" s="199"/>
      <c r="C3" s="199"/>
      <c r="D3" s="199"/>
      <c r="E3" s="199"/>
      <c r="F3" s="199"/>
      <c r="G3" s="199"/>
      <c r="H3" s="81"/>
      <c r="I3" s="81"/>
    </row>
    <row r="4" spans="1:9" ht="19.5" customHeight="1">
      <c r="A4" s="205" t="s">
        <v>115</v>
      </c>
      <c r="B4" s="205"/>
      <c r="C4" s="2"/>
      <c r="D4" s="2"/>
      <c r="E4" s="2"/>
      <c r="F4" s="2"/>
      <c r="G4" s="2"/>
      <c r="H4" s="19"/>
      <c r="I4" s="16"/>
    </row>
    <row r="5" spans="1:9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9" s="29" customFormat="1" ht="15.75" customHeight="1">
      <c r="A6" s="202"/>
      <c r="B6" s="202"/>
      <c r="C6" s="202"/>
      <c r="D6" s="202"/>
      <c r="E6" s="202"/>
      <c r="F6" s="202"/>
      <c r="G6" s="204"/>
    </row>
    <row r="7" spans="1:9" ht="15.75">
      <c r="A7" s="30">
        <v>1</v>
      </c>
      <c r="B7" s="31" t="s">
        <v>116</v>
      </c>
      <c r="C7" s="32"/>
      <c r="D7" s="32"/>
      <c r="E7" s="32"/>
      <c r="F7" s="33"/>
      <c r="G7" s="34"/>
    </row>
    <row r="8" spans="1:9" s="37" customFormat="1" ht="16.5" customHeight="1">
      <c r="A8" s="33"/>
      <c r="B8" s="35" t="s">
        <v>66</v>
      </c>
      <c r="C8" s="33" t="s">
        <v>0</v>
      </c>
      <c r="D8" s="83">
        <v>230</v>
      </c>
      <c r="E8" s="83"/>
      <c r="F8" s="83">
        <f t="shared" ref="F8:F16" si="0">D8+E8</f>
        <v>230</v>
      </c>
      <c r="G8" s="40">
        <f>G11/(F8+F9)</f>
        <v>0.1177805084854369</v>
      </c>
      <c r="H8" s="36"/>
    </row>
    <row r="9" spans="1:9" s="37" customFormat="1" ht="16.5" customHeight="1">
      <c r="A9" s="33"/>
      <c r="B9" s="35" t="s">
        <v>24</v>
      </c>
      <c r="C9" s="33" t="s">
        <v>0</v>
      </c>
      <c r="D9" s="83"/>
      <c r="E9" s="83">
        <v>800</v>
      </c>
      <c r="F9" s="83">
        <f t="shared" si="0"/>
        <v>800</v>
      </c>
      <c r="G9" s="40"/>
      <c r="H9" s="36"/>
    </row>
    <row r="10" spans="1:9" s="37" customFormat="1" ht="16.5" customHeight="1">
      <c r="A10" s="33"/>
      <c r="B10" s="38" t="s">
        <v>26</v>
      </c>
      <c r="C10" s="32" t="s">
        <v>7</v>
      </c>
      <c r="D10" s="84">
        <f>175*3.853/1000</f>
        <v>0.67427500000000007</v>
      </c>
      <c r="E10" s="84">
        <f>155*3.853/1000</f>
        <v>0.59721500000000005</v>
      </c>
      <c r="F10" s="89">
        <f t="shared" si="0"/>
        <v>1.27149</v>
      </c>
      <c r="G10" s="40"/>
    </row>
    <row r="11" spans="1:9" s="37" customFormat="1" ht="16.5" customHeight="1">
      <c r="A11" s="33"/>
      <c r="B11" s="38" t="s">
        <v>22</v>
      </c>
      <c r="C11" s="32" t="s">
        <v>7</v>
      </c>
      <c r="D11" s="84">
        <f>130*2.466/1000</f>
        <v>0.32058000000000003</v>
      </c>
      <c r="E11" s="84">
        <f>230*2.466/1000</f>
        <v>0.56718000000000002</v>
      </c>
      <c r="F11" s="89">
        <f t="shared" si="0"/>
        <v>0.8877600000000001</v>
      </c>
      <c r="G11" s="40">
        <f>SUM(F10:F16,F18:F22,F43:F46)</f>
        <v>121.31392374000001</v>
      </c>
    </row>
    <row r="12" spans="1:9">
      <c r="A12" s="32"/>
      <c r="B12" s="38" t="s">
        <v>17</v>
      </c>
      <c r="C12" s="32" t="s">
        <v>7</v>
      </c>
      <c r="D12" s="84">
        <f>457*1.578/1000</f>
        <v>0.72114600000000006</v>
      </c>
      <c r="E12" s="84">
        <f>1559*1.578/1000</f>
        <v>2.4601020000000005</v>
      </c>
      <c r="F12" s="89">
        <f t="shared" si="0"/>
        <v>3.1812480000000005</v>
      </c>
      <c r="G12" s="40"/>
    </row>
    <row r="13" spans="1:9" ht="15.75" customHeight="1">
      <c r="A13" s="32"/>
      <c r="B13" s="38" t="s">
        <v>20</v>
      </c>
      <c r="C13" s="32" t="s">
        <v>7</v>
      </c>
      <c r="D13" s="84">
        <f>1297*0.888/1000</f>
        <v>1.1517360000000001</v>
      </c>
      <c r="E13" s="84">
        <f>(2434+33)*0.888/1000</f>
        <v>2.190696</v>
      </c>
      <c r="F13" s="89">
        <f t="shared" si="0"/>
        <v>3.3424320000000001</v>
      </c>
      <c r="G13" s="40"/>
    </row>
    <row r="14" spans="1:9" ht="15.75" customHeight="1">
      <c r="A14" s="32"/>
      <c r="B14" s="38" t="s">
        <v>18</v>
      </c>
      <c r="C14" s="32" t="s">
        <v>7</v>
      </c>
      <c r="D14" s="84">
        <f>94*0.617/1000</f>
        <v>5.7998000000000001E-2</v>
      </c>
      <c r="E14" s="84">
        <f>54*0.617/1000</f>
        <v>3.3318E-2</v>
      </c>
      <c r="F14" s="89">
        <f t="shared" si="0"/>
        <v>9.1316000000000008E-2</v>
      </c>
      <c r="G14" s="49"/>
    </row>
    <row r="15" spans="1:9" ht="15.75" customHeight="1">
      <c r="A15" s="32"/>
      <c r="B15" s="38" t="s">
        <v>19</v>
      </c>
      <c r="C15" s="32" t="s">
        <v>7</v>
      </c>
      <c r="D15" s="84">
        <f>(9995+3775+61)*0.395/1000</f>
        <v>5.4632449999999997</v>
      </c>
      <c r="E15" s="84">
        <f>(34132+13260+1313)*0.395/1000</f>
        <v>19.238475000000001</v>
      </c>
      <c r="F15" s="89">
        <f t="shared" si="0"/>
        <v>24.701720000000002</v>
      </c>
      <c r="G15" s="49"/>
    </row>
    <row r="16" spans="1:9">
      <c r="A16" s="32"/>
      <c r="B16" s="38" t="s">
        <v>23</v>
      </c>
      <c r="C16" s="32" t="s">
        <v>7</v>
      </c>
      <c r="D16" s="84">
        <f>20*0.395/1000</f>
        <v>7.9000000000000008E-3</v>
      </c>
      <c r="E16" s="84">
        <f>723*0.395/1000</f>
        <v>0.28558500000000003</v>
      </c>
      <c r="F16" s="89">
        <f t="shared" si="0"/>
        <v>0.29348500000000005</v>
      </c>
      <c r="G16" s="40"/>
    </row>
    <row r="17" spans="1:8" ht="15.75">
      <c r="A17" s="33">
        <v>2</v>
      </c>
      <c r="B17" s="82" t="s">
        <v>67</v>
      </c>
      <c r="C17" s="32"/>
      <c r="D17" s="39"/>
      <c r="E17" s="39"/>
      <c r="F17" s="39"/>
      <c r="G17" s="40"/>
      <c r="H17" s="72"/>
    </row>
    <row r="18" spans="1:8">
      <c r="A18" s="32"/>
      <c r="B18" s="42" t="s">
        <v>76</v>
      </c>
      <c r="C18" s="43" t="s">
        <v>7</v>
      </c>
      <c r="D18" s="89">
        <f>D37+D40</f>
        <v>0</v>
      </c>
      <c r="E18" s="89">
        <f>E37+E40</f>
        <v>6.4176170400000014</v>
      </c>
      <c r="F18" s="89">
        <f>D18+E18</f>
        <v>6.4176170400000014</v>
      </c>
      <c r="G18" s="40"/>
    </row>
    <row r="19" spans="1:8">
      <c r="A19" s="32"/>
      <c r="B19" s="42" t="s">
        <v>68</v>
      </c>
      <c r="C19" s="43" t="s">
        <v>7</v>
      </c>
      <c r="D19" s="89">
        <f>D24+D27+D30+D33</f>
        <v>1.3834641599999999</v>
      </c>
      <c r="E19" s="89">
        <f>E24+E27+E30+E33</f>
        <v>5.9347948800000001</v>
      </c>
      <c r="F19" s="89">
        <f>D19+E19</f>
        <v>7.31825904</v>
      </c>
      <c r="G19" s="40"/>
    </row>
    <row r="20" spans="1:8">
      <c r="A20" s="32"/>
      <c r="B20" s="42" t="s">
        <v>71</v>
      </c>
      <c r="C20" s="43" t="s">
        <v>7</v>
      </c>
      <c r="D20" s="89">
        <f>D38+D41</f>
        <v>0</v>
      </c>
      <c r="E20" s="89">
        <f>E38+E41</f>
        <v>2.6316901000000001</v>
      </c>
      <c r="F20" s="89">
        <f>D20+E20</f>
        <v>2.6316901000000001</v>
      </c>
      <c r="G20" s="40"/>
    </row>
    <row r="21" spans="1:8">
      <c r="A21" s="32"/>
      <c r="B21" s="42" t="s">
        <v>70</v>
      </c>
      <c r="C21" s="43" t="s">
        <v>7</v>
      </c>
      <c r="D21" s="89">
        <f>D25+D28+D31+D34</f>
        <v>0.32980919999999997</v>
      </c>
      <c r="E21" s="89">
        <f>E25+E28+E31+E34</f>
        <v>1.5346066</v>
      </c>
      <c r="F21" s="89">
        <f>D21+E21</f>
        <v>1.8644158</v>
      </c>
      <c r="G21" s="40"/>
    </row>
    <row r="22" spans="1:8">
      <c r="A22" s="32"/>
      <c r="B22" s="42" t="s">
        <v>105</v>
      </c>
      <c r="C22" s="43" t="s">
        <v>7</v>
      </c>
      <c r="D22" s="89">
        <f>D35</f>
        <v>0</v>
      </c>
      <c r="E22" s="89">
        <f>E35</f>
        <v>9.5558400000000002E-2</v>
      </c>
      <c r="F22" s="89">
        <f>D22+E22</f>
        <v>9.5558400000000002E-2</v>
      </c>
      <c r="G22" s="40"/>
    </row>
    <row r="23" spans="1:8">
      <c r="A23" s="32"/>
      <c r="B23" s="42" t="s">
        <v>117</v>
      </c>
      <c r="C23" s="43"/>
      <c r="D23" s="90"/>
      <c r="E23" s="90"/>
      <c r="F23" s="90"/>
      <c r="G23" s="40"/>
    </row>
    <row r="24" spans="1:8">
      <c r="A24" s="32"/>
      <c r="B24" s="38" t="s">
        <v>17</v>
      </c>
      <c r="C24" s="32" t="s">
        <v>7</v>
      </c>
      <c r="D24" s="84">
        <f>(3.97*8)*1.578/1000*2</f>
        <v>0.10023456000000001</v>
      </c>
      <c r="E24" s="84">
        <f>(3.97*8)*1.578/1000*16</f>
        <v>0.80187648000000011</v>
      </c>
      <c r="F24" s="90"/>
      <c r="G24" s="40"/>
    </row>
    <row r="25" spans="1:8">
      <c r="A25" s="32"/>
      <c r="B25" s="38" t="s">
        <v>19</v>
      </c>
      <c r="C25" s="32" t="s">
        <v>7</v>
      </c>
      <c r="D25" s="84">
        <f>(1.42*28)*0.395/1000*2</f>
        <v>3.1410399999999998E-2</v>
      </c>
      <c r="E25" s="84">
        <f>(1.42*28)*0.395/1000*16</f>
        <v>0.25128319999999998</v>
      </c>
      <c r="F25" s="90"/>
      <c r="G25" s="40"/>
    </row>
    <row r="26" spans="1:8">
      <c r="A26" s="32"/>
      <c r="B26" s="42" t="s">
        <v>118</v>
      </c>
      <c r="C26" s="43"/>
      <c r="D26" s="90"/>
      <c r="E26" s="90"/>
      <c r="F26" s="90"/>
      <c r="G26" s="40"/>
    </row>
    <row r="27" spans="1:8">
      <c r="A27" s="32"/>
      <c r="B27" s="38" t="s">
        <v>17</v>
      </c>
      <c r="C27" s="32" t="s">
        <v>7</v>
      </c>
      <c r="D27" s="84">
        <f>(5.35*8)*1.578/1000*19</f>
        <v>1.2832295999999999</v>
      </c>
      <c r="E27" s="84">
        <f>(5.35*8)*1.578/1000*52</f>
        <v>3.5119967999999999</v>
      </c>
      <c r="F27" s="90"/>
      <c r="G27" s="40"/>
    </row>
    <row r="28" spans="1:8">
      <c r="A28" s="32"/>
      <c r="B28" s="38" t="s">
        <v>19</v>
      </c>
      <c r="C28" s="32" t="s">
        <v>7</v>
      </c>
      <c r="D28" s="84">
        <f>(1.42*28)*0.395/1000*19</f>
        <v>0.29839879999999996</v>
      </c>
      <c r="E28" s="84">
        <f>(1.42*28)*0.395/1000*52</f>
        <v>0.81667039999999991</v>
      </c>
      <c r="F28" s="90"/>
      <c r="G28" s="40"/>
    </row>
    <row r="29" spans="1:8">
      <c r="A29" s="32"/>
      <c r="B29" s="42" t="s">
        <v>119</v>
      </c>
      <c r="C29" s="43"/>
      <c r="D29" s="90"/>
      <c r="E29" s="90"/>
      <c r="F29" s="90"/>
      <c r="G29" s="40"/>
    </row>
    <row r="30" spans="1:8">
      <c r="A30" s="32"/>
      <c r="B30" s="38" t="s">
        <v>17</v>
      </c>
      <c r="C30" s="32" t="s">
        <v>7</v>
      </c>
      <c r="D30" s="85"/>
      <c r="E30" s="84">
        <f>(5.35*8)*1.578/1000*6</f>
        <v>0.40523039999999999</v>
      </c>
      <c r="F30" s="90"/>
      <c r="G30" s="40"/>
    </row>
    <row r="31" spans="1:8">
      <c r="A31" s="32"/>
      <c r="B31" s="38" t="s">
        <v>19</v>
      </c>
      <c r="C31" s="32" t="s">
        <v>7</v>
      </c>
      <c r="D31" s="85"/>
      <c r="E31" s="84">
        <f>(1.42*31)*0.395/1000*6</f>
        <v>0.10432739999999999</v>
      </c>
      <c r="F31" s="90"/>
      <c r="G31" s="40"/>
    </row>
    <row r="32" spans="1:8">
      <c r="A32" s="32"/>
      <c r="B32" s="42" t="s">
        <v>120</v>
      </c>
      <c r="C32" s="43"/>
      <c r="D32" s="90"/>
      <c r="E32" s="90"/>
      <c r="F32" s="90"/>
      <c r="G32" s="40"/>
      <c r="H32" s="41"/>
    </row>
    <row r="33" spans="1:8">
      <c r="A33" s="32"/>
      <c r="B33" s="38" t="s">
        <v>17</v>
      </c>
      <c r="C33" s="32" t="s">
        <v>7</v>
      </c>
      <c r="D33" s="85"/>
      <c r="E33" s="84">
        <f>(5.35*8)*1.578/1000*18</f>
        <v>1.2156912</v>
      </c>
      <c r="F33" s="90"/>
      <c r="G33" s="40"/>
      <c r="H33" s="41"/>
    </row>
    <row r="34" spans="1:8">
      <c r="A34" s="32"/>
      <c r="B34" s="38" t="s">
        <v>19</v>
      </c>
      <c r="C34" s="32" t="s">
        <v>7</v>
      </c>
      <c r="D34" s="85"/>
      <c r="E34" s="84">
        <f>(1.82*28)*0.395/1000*18</f>
        <v>0.36232560000000003</v>
      </c>
      <c r="F34" s="90"/>
      <c r="G34" s="40"/>
      <c r="H34" s="41"/>
    </row>
    <row r="35" spans="1:8">
      <c r="A35" s="32"/>
      <c r="B35" s="38" t="s">
        <v>23</v>
      </c>
      <c r="C35" s="32" t="s">
        <v>7</v>
      </c>
      <c r="D35" s="85"/>
      <c r="E35" s="84">
        <f>(0.48*28)*0.395/1000*18</f>
        <v>9.5558400000000002E-2</v>
      </c>
      <c r="F35" s="90"/>
      <c r="G35" s="40"/>
      <c r="H35" s="41"/>
    </row>
    <row r="36" spans="1:8">
      <c r="A36" s="32"/>
      <c r="B36" s="42" t="s">
        <v>121</v>
      </c>
      <c r="C36" s="43"/>
      <c r="D36" s="90"/>
      <c r="E36" s="90"/>
      <c r="F36" s="90"/>
      <c r="G36" s="40"/>
      <c r="H36" s="41"/>
    </row>
    <row r="37" spans="1:8">
      <c r="A37" s="32"/>
      <c r="B37" s="38" t="s">
        <v>22</v>
      </c>
      <c r="C37" s="32" t="s">
        <v>7</v>
      </c>
      <c r="D37" s="85"/>
      <c r="E37" s="84">
        <f>(5.7*12)*2.466/1000*37</f>
        <v>6.2409528000000014</v>
      </c>
      <c r="F37" s="90"/>
      <c r="G37" s="40"/>
      <c r="H37" s="41"/>
    </row>
    <row r="38" spans="1:8">
      <c r="A38" s="32"/>
      <c r="B38" s="38" t="s">
        <v>18</v>
      </c>
      <c r="C38" s="32" t="s">
        <v>7</v>
      </c>
      <c r="D38" s="85"/>
      <c r="E38" s="84">
        <f>(1.93*58)*0.617/1000*37</f>
        <v>2.5554782600000001</v>
      </c>
      <c r="F38" s="90"/>
      <c r="G38" s="40"/>
      <c r="H38" s="41"/>
    </row>
    <row r="39" spans="1:8">
      <c r="A39" s="32"/>
      <c r="B39" s="42" t="s">
        <v>122</v>
      </c>
      <c r="C39" s="43"/>
      <c r="D39" s="90"/>
      <c r="E39" s="90"/>
      <c r="F39" s="90"/>
      <c r="G39" s="40"/>
      <c r="H39" s="41"/>
    </row>
    <row r="40" spans="1:8">
      <c r="A40" s="32"/>
      <c r="B40" s="38" t="s">
        <v>22</v>
      </c>
      <c r="C40" s="32" t="s">
        <v>7</v>
      </c>
      <c r="D40" s="85"/>
      <c r="E40" s="84">
        <f>(5.97*12)*2.466/1000*1</f>
        <v>0.17666424</v>
      </c>
      <c r="F40" s="90"/>
      <c r="G40" s="40"/>
      <c r="H40" s="41"/>
    </row>
    <row r="41" spans="1:8">
      <c r="A41" s="32"/>
      <c r="B41" s="38" t="s">
        <v>18</v>
      </c>
      <c r="C41" s="32" t="s">
        <v>7</v>
      </c>
      <c r="D41" s="85"/>
      <c r="E41" s="84">
        <f>(1.93*64)*0.617/1000*1</f>
        <v>7.6211839999999989E-2</v>
      </c>
      <c r="F41" s="90"/>
      <c r="G41" s="40"/>
    </row>
    <row r="42" spans="1:8" ht="15.75">
      <c r="A42" s="33">
        <v>3</v>
      </c>
      <c r="B42" s="82" t="s">
        <v>77</v>
      </c>
      <c r="C42" s="32"/>
      <c r="D42" s="44"/>
      <c r="E42" s="44"/>
      <c r="F42" s="44"/>
      <c r="G42" s="40"/>
    </row>
    <row r="43" spans="1:8">
      <c r="A43" s="32"/>
      <c r="B43" s="42" t="s">
        <v>68</v>
      </c>
      <c r="C43" s="43" t="s">
        <v>7</v>
      </c>
      <c r="D43" s="89">
        <f>D60+D63+D66+D69</f>
        <v>1.26593472</v>
      </c>
      <c r="E43" s="89">
        <f>E60+E63+E66+E69</f>
        <v>11.3267262</v>
      </c>
      <c r="F43" s="89">
        <f>D43+E43</f>
        <v>12.59266092</v>
      </c>
      <c r="G43" s="40"/>
    </row>
    <row r="44" spans="1:8">
      <c r="A44" s="32"/>
      <c r="B44" s="42" t="s">
        <v>69</v>
      </c>
      <c r="C44" s="43" t="s">
        <v>7</v>
      </c>
      <c r="D44" s="89">
        <f>D48+D51+D54+D57+D72+D75+D78+D81+D84+D87+D90+D93+D96+D99+D102+D105</f>
        <v>12.176060639999999</v>
      </c>
      <c r="E44" s="89">
        <f>E48+E51+E54+E57+E72+E75+E78+E81+E84+E87+E90+E93+E96+E99+E102+E105</f>
        <v>36.198165599999996</v>
      </c>
      <c r="F44" s="89">
        <f>D44+E44</f>
        <v>48.374226239999999</v>
      </c>
      <c r="G44" s="40"/>
    </row>
    <row r="45" spans="1:8">
      <c r="A45" s="32"/>
      <c r="B45" s="42" t="s">
        <v>71</v>
      </c>
      <c r="C45" s="43" t="s">
        <v>7</v>
      </c>
      <c r="D45" s="89">
        <f>D67+D70</f>
        <v>0.33762239999999999</v>
      </c>
      <c r="E45" s="89">
        <f>E67+E70</f>
        <v>0.16881119999999999</v>
      </c>
      <c r="F45" s="89">
        <f>D45+E45</f>
        <v>0.50643360000000004</v>
      </c>
      <c r="G45" s="40"/>
    </row>
    <row r="46" spans="1:8">
      <c r="A46" s="32"/>
      <c r="B46" s="42" t="s">
        <v>70</v>
      </c>
      <c r="C46" s="43" t="s">
        <v>7</v>
      </c>
      <c r="D46" s="89">
        <f>D49+D52+D55+D58+D73+D76+D79+D82+D85+D88+D91+D94+D97+D100+D103+D106+D61+D64</f>
        <v>1.6813728000000001</v>
      </c>
      <c r="E46" s="89">
        <f>E49+E52+E55+E58+E73+E76+E79+E82+E85+E88+E91+E94+E97+E100+E103+E106+E61+E64</f>
        <v>6.0622388000000011</v>
      </c>
      <c r="F46" s="89">
        <f>D46+E46</f>
        <v>7.7436116000000013</v>
      </c>
      <c r="G46" s="40"/>
    </row>
    <row r="47" spans="1:8">
      <c r="A47" s="32"/>
      <c r="B47" s="42" t="s">
        <v>123</v>
      </c>
      <c r="C47" s="43"/>
      <c r="D47" s="90"/>
      <c r="E47" s="90"/>
      <c r="F47" s="90"/>
      <c r="G47" s="40"/>
    </row>
    <row r="48" spans="1:8">
      <c r="A48" s="32"/>
      <c r="B48" s="38" t="s">
        <v>20</v>
      </c>
      <c r="C48" s="32" t="s">
        <v>7</v>
      </c>
      <c r="D48" s="85"/>
      <c r="E48" s="84">
        <f>5.03*2*0.888/1000*46</f>
        <v>0.41093088</v>
      </c>
      <c r="F48" s="90"/>
      <c r="G48" s="40"/>
    </row>
    <row r="49" spans="1:7">
      <c r="A49" s="32"/>
      <c r="B49" s="38" t="s">
        <v>19</v>
      </c>
      <c r="C49" s="32" t="s">
        <v>7</v>
      </c>
      <c r="D49" s="85"/>
      <c r="E49" s="84">
        <f>0.12*19*0.395/1000*46</f>
        <v>4.1427600000000002E-2</v>
      </c>
      <c r="F49" s="90"/>
      <c r="G49" s="40"/>
    </row>
    <row r="50" spans="1:7">
      <c r="A50" s="32"/>
      <c r="B50" s="42" t="s">
        <v>124</v>
      </c>
      <c r="C50" s="43"/>
      <c r="D50" s="90"/>
      <c r="E50" s="90"/>
      <c r="F50" s="90"/>
      <c r="G50" s="40"/>
    </row>
    <row r="51" spans="1:7">
      <c r="A51" s="32"/>
      <c r="B51" s="38" t="s">
        <v>20</v>
      </c>
      <c r="C51" s="32" t="s">
        <v>7</v>
      </c>
      <c r="D51" s="85"/>
      <c r="E51" s="84">
        <f>3.14*2*0.888/1000*39</f>
        <v>0.21748896000000001</v>
      </c>
      <c r="F51" s="90"/>
      <c r="G51" s="40"/>
    </row>
    <row r="52" spans="1:7">
      <c r="A52" s="32"/>
      <c r="B52" s="38" t="s">
        <v>19</v>
      </c>
      <c r="C52" s="32" t="s">
        <v>7</v>
      </c>
      <c r="D52" s="85"/>
      <c r="E52" s="84">
        <f>0.16*15*0.395/1000*39</f>
        <v>3.6971999999999998E-2</v>
      </c>
      <c r="F52" s="90"/>
      <c r="G52" s="40"/>
    </row>
    <row r="53" spans="1:7">
      <c r="A53" s="32"/>
      <c r="B53" s="42" t="s">
        <v>125</v>
      </c>
      <c r="C53" s="43"/>
      <c r="D53" s="90"/>
      <c r="E53" s="90"/>
      <c r="F53" s="90"/>
      <c r="G53" s="40"/>
    </row>
    <row r="54" spans="1:7">
      <c r="A54" s="32"/>
      <c r="B54" s="38" t="s">
        <v>20</v>
      </c>
      <c r="C54" s="32" t="s">
        <v>7</v>
      </c>
      <c r="D54" s="84">
        <f>3.87*2*0.888/1000*391</f>
        <v>2.6873899199999998</v>
      </c>
      <c r="E54" s="84">
        <f>3.87*2*0.888/1000*1974</f>
        <v>13.567538879999999</v>
      </c>
      <c r="F54" s="90"/>
      <c r="G54" s="40"/>
    </row>
    <row r="55" spans="1:7">
      <c r="A55" s="32"/>
      <c r="B55" s="38" t="s">
        <v>19</v>
      </c>
      <c r="C55" s="32" t="s">
        <v>7</v>
      </c>
      <c r="D55" s="84">
        <f>0.16*19*0.395/1000*391</f>
        <v>0.46951280000000006</v>
      </c>
      <c r="E55" s="84">
        <f>0.16*19*0.395/1000*1974</f>
        <v>2.3703792000000004</v>
      </c>
      <c r="F55" s="90"/>
      <c r="G55" s="40"/>
    </row>
    <row r="56" spans="1:7">
      <c r="A56" s="32"/>
      <c r="B56" s="42" t="s">
        <v>126</v>
      </c>
      <c r="C56" s="43"/>
      <c r="D56" s="90"/>
      <c r="E56" s="90"/>
      <c r="F56" s="90"/>
      <c r="G56" s="40"/>
    </row>
    <row r="57" spans="1:7">
      <c r="A57" s="32"/>
      <c r="B57" s="38" t="s">
        <v>20</v>
      </c>
      <c r="C57" s="32" t="s">
        <v>7</v>
      </c>
      <c r="D57" s="84">
        <f>5.03*2*0.888/1000*846</f>
        <v>7.5575548799999996</v>
      </c>
      <c r="E57" s="84">
        <f>5.03*2*0.888/1000*1845</f>
        <v>16.4819016</v>
      </c>
      <c r="F57" s="90"/>
      <c r="G57" s="40"/>
    </row>
    <row r="58" spans="1:7">
      <c r="A58" s="32"/>
      <c r="B58" s="38" t="s">
        <v>19</v>
      </c>
      <c r="C58" s="32" t="s">
        <v>7</v>
      </c>
      <c r="D58" s="84">
        <f>0.16*19*0.395/1000*846</f>
        <v>1.0158768</v>
      </c>
      <c r="E58" s="84">
        <f>0.16*19*0.395/1000*1845</f>
        <v>2.2154760000000002</v>
      </c>
      <c r="F58" s="90"/>
      <c r="G58" s="40"/>
    </row>
    <row r="59" spans="1:7">
      <c r="A59" s="32"/>
      <c r="B59" s="42" t="s">
        <v>127</v>
      </c>
      <c r="C59" s="43"/>
      <c r="D59" s="90"/>
      <c r="E59" s="90"/>
      <c r="F59" s="90"/>
      <c r="G59" s="40"/>
    </row>
    <row r="60" spans="1:7">
      <c r="A60" s="32"/>
      <c r="B60" s="86" t="s">
        <v>17</v>
      </c>
      <c r="C60" s="32" t="s">
        <v>7</v>
      </c>
      <c r="D60" s="85"/>
      <c r="E60" s="84">
        <f>4.5*2*1.578/1000*22</f>
        <v>0.312444</v>
      </c>
      <c r="F60" s="90"/>
      <c r="G60" s="40"/>
    </row>
    <row r="61" spans="1:7">
      <c r="A61" s="32"/>
      <c r="B61" s="86" t="s">
        <v>19</v>
      </c>
      <c r="C61" s="32" t="s">
        <v>7</v>
      </c>
      <c r="D61" s="85"/>
      <c r="E61" s="84">
        <f>0.16*15*0.395/1000*22</f>
        <v>2.0856E-2</v>
      </c>
      <c r="F61" s="90"/>
      <c r="G61" s="40"/>
    </row>
    <row r="62" spans="1:7">
      <c r="A62" s="32"/>
      <c r="B62" s="42" t="s">
        <v>128</v>
      </c>
      <c r="C62" s="43"/>
      <c r="D62" s="90"/>
      <c r="E62" s="90"/>
      <c r="F62" s="90"/>
      <c r="G62" s="40"/>
    </row>
    <row r="63" spans="1:7">
      <c r="A63" s="32"/>
      <c r="B63" s="86" t="s">
        <v>17</v>
      </c>
      <c r="C63" s="32" t="s">
        <v>7</v>
      </c>
      <c r="D63" s="85"/>
      <c r="E63" s="84">
        <f>5.33*2*1.578/1000*615</f>
        <v>10.3452102</v>
      </c>
      <c r="F63" s="90"/>
      <c r="G63" s="40"/>
    </row>
    <row r="64" spans="1:7">
      <c r="A64" s="32"/>
      <c r="B64" s="86" t="s">
        <v>19</v>
      </c>
      <c r="C64" s="32" t="s">
        <v>7</v>
      </c>
      <c r="D64" s="85"/>
      <c r="E64" s="84">
        <f>0.16*19*0.395/1000*615</f>
        <v>0.73849200000000004</v>
      </c>
      <c r="F64" s="90"/>
      <c r="G64" s="40"/>
    </row>
    <row r="65" spans="1:7">
      <c r="A65" s="32"/>
      <c r="B65" s="42" t="s">
        <v>129</v>
      </c>
      <c r="C65" s="43"/>
      <c r="D65" s="90"/>
      <c r="E65" s="90"/>
      <c r="F65" s="90"/>
      <c r="G65" s="40"/>
    </row>
    <row r="66" spans="1:7">
      <c r="A66" s="32"/>
      <c r="B66" s="86" t="s">
        <v>17</v>
      </c>
      <c r="C66" s="32" t="s">
        <v>7</v>
      </c>
      <c r="D66" s="84">
        <f>3.87*2*1.578/1000*16</f>
        <v>0.19541952000000001</v>
      </c>
      <c r="E66" s="85"/>
      <c r="F66" s="90"/>
      <c r="G66" s="40"/>
    </row>
    <row r="67" spans="1:7">
      <c r="A67" s="32"/>
      <c r="B67" s="97" t="s">
        <v>18</v>
      </c>
      <c r="C67" s="32" t="s">
        <v>7</v>
      </c>
      <c r="D67" s="84">
        <f>0.36*19*0.617/1000*16</f>
        <v>6.7524479999999998E-2</v>
      </c>
      <c r="E67" s="85"/>
      <c r="F67" s="90"/>
      <c r="G67" s="40"/>
    </row>
    <row r="68" spans="1:7">
      <c r="A68" s="32"/>
      <c r="B68" s="42" t="s">
        <v>130</v>
      </c>
      <c r="C68" s="43"/>
      <c r="D68" s="90"/>
      <c r="E68" s="90"/>
      <c r="F68" s="90"/>
      <c r="G68" s="40"/>
    </row>
    <row r="69" spans="1:7">
      <c r="A69" s="32"/>
      <c r="B69" s="86" t="s">
        <v>17</v>
      </c>
      <c r="C69" s="32" t="s">
        <v>7</v>
      </c>
      <c r="D69" s="84">
        <f>5.3*2*1.578/1000*64</f>
        <v>1.0705152</v>
      </c>
      <c r="E69" s="84">
        <f>5.3*2*1.578/1000*40</f>
        <v>0.669072</v>
      </c>
      <c r="F69" s="90"/>
      <c r="G69" s="40"/>
    </row>
    <row r="70" spans="1:7">
      <c r="A70" s="32"/>
      <c r="B70" s="97" t="s">
        <v>18</v>
      </c>
      <c r="C70" s="32" t="s">
        <v>7</v>
      </c>
      <c r="D70" s="84">
        <f>0.36*19*0.617/1000*64</f>
        <v>0.27009791999999999</v>
      </c>
      <c r="E70" s="84">
        <f>0.36*19*0.617/1000*40</f>
        <v>0.16881119999999999</v>
      </c>
      <c r="F70" s="90"/>
      <c r="G70" s="40"/>
    </row>
    <row r="71" spans="1:7">
      <c r="A71" s="32"/>
      <c r="B71" s="42" t="s">
        <v>131</v>
      </c>
      <c r="C71" s="43"/>
      <c r="D71" s="90"/>
      <c r="E71" s="90"/>
      <c r="F71" s="90"/>
      <c r="G71" s="40"/>
    </row>
    <row r="72" spans="1:7">
      <c r="A72" s="32"/>
      <c r="B72" s="38" t="s">
        <v>20</v>
      </c>
      <c r="C72" s="32" t="s">
        <v>7</v>
      </c>
      <c r="D72" s="85"/>
      <c r="E72" s="84">
        <f>1.72*2*0.888/1000*8</f>
        <v>2.4437759999999999E-2</v>
      </c>
      <c r="F72" s="90"/>
      <c r="G72" s="40"/>
    </row>
    <row r="73" spans="1:7">
      <c r="A73" s="32"/>
      <c r="B73" s="38" t="s">
        <v>19</v>
      </c>
      <c r="C73" s="32" t="s">
        <v>7</v>
      </c>
      <c r="D73" s="85"/>
      <c r="E73" s="84">
        <f>0.12*8*0.395/1000*8</f>
        <v>3.0336E-3</v>
      </c>
      <c r="F73" s="90"/>
      <c r="G73" s="40"/>
    </row>
    <row r="74" spans="1:7">
      <c r="A74" s="32"/>
      <c r="B74" s="42" t="s">
        <v>132</v>
      </c>
      <c r="C74" s="43"/>
      <c r="D74" s="90"/>
      <c r="E74" s="90"/>
      <c r="F74" s="90"/>
      <c r="G74" s="40"/>
    </row>
    <row r="75" spans="1:7">
      <c r="A75" s="32"/>
      <c r="B75" s="38" t="s">
        <v>20</v>
      </c>
      <c r="C75" s="32" t="s">
        <v>7</v>
      </c>
      <c r="D75" s="84">
        <f>1.48*2*0.888/1000*311</f>
        <v>0.81745728000000006</v>
      </c>
      <c r="E75" s="84">
        <f>1.48*2*0.888/1000*554</f>
        <v>1.4561779200000002</v>
      </c>
      <c r="F75" s="90"/>
      <c r="G75" s="40"/>
    </row>
    <row r="76" spans="1:7">
      <c r="A76" s="32"/>
      <c r="B76" s="38" t="s">
        <v>19</v>
      </c>
      <c r="C76" s="32" t="s">
        <v>7</v>
      </c>
      <c r="D76" s="84">
        <f>0.16*2*0.395/1000*311</f>
        <v>3.9310400000000002E-2</v>
      </c>
      <c r="E76" s="84">
        <f>0.16*2*0.395/1000*554</f>
        <v>7.0025600000000007E-2</v>
      </c>
      <c r="F76" s="90"/>
      <c r="G76" s="40"/>
    </row>
    <row r="77" spans="1:7">
      <c r="A77" s="32"/>
      <c r="B77" s="98" t="s">
        <v>133</v>
      </c>
      <c r="C77" s="99"/>
      <c r="D77" s="100"/>
      <c r="E77" s="100"/>
      <c r="F77" s="90"/>
      <c r="G77" s="40"/>
    </row>
    <row r="78" spans="1:7">
      <c r="A78" s="32"/>
      <c r="B78" s="101" t="s">
        <v>20</v>
      </c>
      <c r="C78" s="102" t="s">
        <v>7</v>
      </c>
      <c r="D78" s="103">
        <f>1.48*2*0.888/1000*41</f>
        <v>0.10776768000000002</v>
      </c>
      <c r="E78" s="103">
        <f>1.48*2*0.888/1000*65</f>
        <v>0.17085120000000001</v>
      </c>
      <c r="F78" s="90"/>
      <c r="G78" s="40"/>
    </row>
    <row r="79" spans="1:7">
      <c r="A79" s="32"/>
      <c r="B79" s="101" t="s">
        <v>19</v>
      </c>
      <c r="C79" s="102" t="s">
        <v>7</v>
      </c>
      <c r="D79" s="103">
        <f>0.16*2*0.395/1000*41</f>
        <v>5.1824000000000002E-3</v>
      </c>
      <c r="E79" s="103">
        <f>0.16*2*0.395/1000*65</f>
        <v>8.2160000000000011E-3</v>
      </c>
      <c r="F79" s="90"/>
      <c r="G79" s="40"/>
    </row>
    <row r="80" spans="1:7">
      <c r="A80" s="32"/>
      <c r="B80" s="42" t="s">
        <v>134</v>
      </c>
      <c r="C80" s="43"/>
      <c r="D80" s="90"/>
      <c r="E80" s="90"/>
      <c r="F80" s="90"/>
      <c r="G80" s="40"/>
    </row>
    <row r="81" spans="1:7">
      <c r="A81" s="32"/>
      <c r="B81" s="38" t="s">
        <v>20</v>
      </c>
      <c r="C81" s="32" t="s">
        <v>7</v>
      </c>
      <c r="D81" s="84">
        <f>2.3*2*0.888/1000*21</f>
        <v>8.578079999999999E-2</v>
      </c>
      <c r="E81" s="84">
        <f>2.3*2*0.888/1000*91</f>
        <v>0.37171679999999996</v>
      </c>
      <c r="F81" s="90"/>
      <c r="G81" s="40"/>
    </row>
    <row r="82" spans="1:7">
      <c r="A82" s="32"/>
      <c r="B82" s="38" t="s">
        <v>19</v>
      </c>
      <c r="C82" s="32" t="s">
        <v>7</v>
      </c>
      <c r="D82" s="84">
        <f>0.16*5*0.395/1000*21</f>
        <v>6.6360000000000004E-3</v>
      </c>
      <c r="E82" s="84">
        <f>0.16*5*0.395/1000*91</f>
        <v>2.8756000000000004E-2</v>
      </c>
      <c r="F82" s="90"/>
      <c r="G82" s="40"/>
    </row>
    <row r="83" spans="1:7">
      <c r="A83" s="32"/>
      <c r="B83" s="42" t="s">
        <v>135</v>
      </c>
      <c r="C83" s="43"/>
      <c r="D83" s="90"/>
      <c r="E83" s="90"/>
      <c r="F83" s="90"/>
      <c r="G83" s="40"/>
    </row>
    <row r="84" spans="1:7">
      <c r="A84" s="32"/>
      <c r="B84" s="38" t="s">
        <v>20</v>
      </c>
      <c r="C84" s="32" t="s">
        <v>7</v>
      </c>
      <c r="D84" s="85"/>
      <c r="E84" s="84">
        <f>2.48*2*0.888/1000*20</f>
        <v>8.8089600000000018E-2</v>
      </c>
      <c r="F84" s="90"/>
      <c r="G84" s="40"/>
    </row>
    <row r="85" spans="1:7">
      <c r="A85" s="32"/>
      <c r="B85" s="38" t="s">
        <v>19</v>
      </c>
      <c r="C85" s="32" t="s">
        <v>7</v>
      </c>
      <c r="D85" s="85"/>
      <c r="E85" s="84">
        <f>0.16*6*0.395/1000*20</f>
        <v>7.5840000000000005E-3</v>
      </c>
      <c r="F85" s="90"/>
      <c r="G85" s="40"/>
    </row>
    <row r="86" spans="1:7">
      <c r="A86" s="32"/>
      <c r="B86" s="42" t="s">
        <v>136</v>
      </c>
      <c r="C86" s="43"/>
      <c r="D86" s="90"/>
      <c r="E86" s="90"/>
      <c r="F86" s="90"/>
      <c r="G86" s="40"/>
    </row>
    <row r="87" spans="1:7">
      <c r="A87" s="32"/>
      <c r="B87" s="38" t="s">
        <v>20</v>
      </c>
      <c r="C87" s="32" t="s">
        <v>7</v>
      </c>
      <c r="D87" s="85"/>
      <c r="E87" s="84">
        <f>1.53*2*0.888/1000*26</f>
        <v>7.0649280000000009E-2</v>
      </c>
      <c r="F87" s="90"/>
      <c r="G87" s="40"/>
    </row>
    <row r="88" spans="1:7">
      <c r="A88" s="32"/>
      <c r="B88" s="38" t="s">
        <v>19</v>
      </c>
      <c r="C88" s="32" t="s">
        <v>7</v>
      </c>
      <c r="D88" s="85"/>
      <c r="E88" s="84">
        <f>0.16*7*0.395/1000*26</f>
        <v>1.1502400000000001E-2</v>
      </c>
      <c r="F88" s="90"/>
      <c r="G88" s="40"/>
    </row>
    <row r="89" spans="1:7">
      <c r="A89" s="32"/>
      <c r="B89" s="42" t="s">
        <v>137</v>
      </c>
      <c r="C89" s="43"/>
      <c r="D89" s="90"/>
      <c r="E89" s="90"/>
      <c r="F89" s="90"/>
      <c r="G89" s="40"/>
    </row>
    <row r="90" spans="1:7">
      <c r="A90" s="32"/>
      <c r="B90" s="38" t="s">
        <v>20</v>
      </c>
      <c r="C90" s="32" t="s">
        <v>7</v>
      </c>
      <c r="D90" s="85"/>
      <c r="E90" s="84">
        <f>1.56*2*0.888/1000*11</f>
        <v>3.0476160000000002E-2</v>
      </c>
      <c r="F90" s="90"/>
      <c r="G90" s="40"/>
    </row>
    <row r="91" spans="1:7">
      <c r="A91" s="32"/>
      <c r="B91" s="38" t="s">
        <v>19</v>
      </c>
      <c r="C91" s="32" t="s">
        <v>7</v>
      </c>
      <c r="D91" s="85"/>
      <c r="E91" s="84">
        <f>0.16*7*0.395/1000*11</f>
        <v>4.8664000000000008E-3</v>
      </c>
      <c r="F91" s="90"/>
      <c r="G91" s="40"/>
    </row>
    <row r="92" spans="1:7">
      <c r="A92" s="32"/>
      <c r="B92" s="42" t="s">
        <v>138</v>
      </c>
      <c r="C92" s="43"/>
      <c r="D92" s="90"/>
      <c r="E92" s="90"/>
      <c r="F92" s="90"/>
      <c r="G92" s="40"/>
    </row>
    <row r="93" spans="1:7">
      <c r="A93" s="32"/>
      <c r="B93" s="38" t="s">
        <v>20</v>
      </c>
      <c r="C93" s="32" t="s">
        <v>7</v>
      </c>
      <c r="D93" s="85"/>
      <c r="E93" s="84">
        <f>2.6*2*0.888/1000*11</f>
        <v>5.0793600000000001E-2</v>
      </c>
      <c r="F93" s="90"/>
      <c r="G93" s="40"/>
    </row>
    <row r="94" spans="1:7">
      <c r="A94" s="32"/>
      <c r="B94" s="38" t="s">
        <v>19</v>
      </c>
      <c r="C94" s="32" t="s">
        <v>7</v>
      </c>
      <c r="D94" s="85"/>
      <c r="E94" s="84">
        <f>0.16*7*0.395/1000*11</f>
        <v>4.8664000000000008E-3</v>
      </c>
      <c r="F94" s="90"/>
      <c r="G94" s="40"/>
    </row>
    <row r="95" spans="1:7">
      <c r="A95" s="32"/>
      <c r="B95" s="42" t="s">
        <v>139</v>
      </c>
      <c r="C95" s="43"/>
      <c r="D95" s="90"/>
      <c r="E95" s="90"/>
      <c r="F95" s="90"/>
      <c r="G95" s="40"/>
    </row>
    <row r="96" spans="1:7">
      <c r="A96" s="32"/>
      <c r="B96" s="38" t="s">
        <v>20</v>
      </c>
      <c r="C96" s="32" t="s">
        <v>7</v>
      </c>
      <c r="D96" s="84">
        <f>1.66*2*0.888/1000*19</f>
        <v>5.6015040000000002E-2</v>
      </c>
      <c r="E96" s="84">
        <f>1.66*2*0.888/1000*328</f>
        <v>0.96699648000000005</v>
      </c>
      <c r="F96" s="90"/>
      <c r="G96" s="40"/>
    </row>
    <row r="97" spans="1:7">
      <c r="A97" s="32"/>
      <c r="B97" s="38" t="s">
        <v>19</v>
      </c>
      <c r="C97" s="32" t="s">
        <v>7</v>
      </c>
      <c r="D97" s="84">
        <f>0.16*8*0.395/1000*19</f>
        <v>9.606400000000001E-3</v>
      </c>
      <c r="E97" s="84">
        <f>0.16*8*0.395/1000*328</f>
        <v>0.16583680000000001</v>
      </c>
      <c r="F97" s="90"/>
      <c r="G97" s="40"/>
    </row>
    <row r="98" spans="1:7">
      <c r="A98" s="32"/>
      <c r="B98" s="42" t="s">
        <v>140</v>
      </c>
      <c r="C98" s="43"/>
      <c r="D98" s="90"/>
      <c r="E98" s="90"/>
      <c r="F98" s="90"/>
      <c r="G98" s="40"/>
    </row>
    <row r="99" spans="1:7">
      <c r="A99" s="32"/>
      <c r="B99" s="38" t="s">
        <v>20</v>
      </c>
      <c r="C99" s="32" t="s">
        <v>7</v>
      </c>
      <c r="D99" s="84">
        <f>2.7*2*0.888/1000*25</f>
        <v>0.11988000000000001</v>
      </c>
      <c r="E99" s="84">
        <f>2.7*2*0.888/1000*166</f>
        <v>0.79600320000000002</v>
      </c>
      <c r="F99" s="90"/>
      <c r="G99" s="40"/>
    </row>
    <row r="100" spans="1:7">
      <c r="A100" s="32"/>
      <c r="B100" s="38" t="s">
        <v>19</v>
      </c>
      <c r="C100" s="32" t="s">
        <v>7</v>
      </c>
      <c r="D100" s="84">
        <f>0.16*8*0.395/1000*25</f>
        <v>1.264E-2</v>
      </c>
      <c r="E100" s="84">
        <f>0.16*8*0.395/1000*166</f>
        <v>8.3929600000000007E-2</v>
      </c>
      <c r="F100" s="90"/>
      <c r="G100" s="40"/>
    </row>
    <row r="101" spans="1:7">
      <c r="A101" s="32"/>
      <c r="B101" s="42" t="s">
        <v>141</v>
      </c>
      <c r="C101" s="43"/>
      <c r="D101" s="90"/>
      <c r="E101" s="90"/>
      <c r="F101" s="90"/>
      <c r="G101" s="40"/>
    </row>
    <row r="102" spans="1:7">
      <c r="A102" s="32"/>
      <c r="B102" s="38" t="s">
        <v>20</v>
      </c>
      <c r="C102" s="32" t="s">
        <v>7</v>
      </c>
      <c r="D102" s="84">
        <f>1.08*2*0.888/1000*388</f>
        <v>0.74421504000000005</v>
      </c>
      <c r="E102" s="84">
        <f>1.08*2*0.888/1000*668</f>
        <v>1.2812774400000002</v>
      </c>
      <c r="F102" s="90"/>
      <c r="G102" s="40"/>
    </row>
    <row r="103" spans="1:7">
      <c r="A103" s="32"/>
      <c r="B103" s="38" t="s">
        <v>19</v>
      </c>
      <c r="C103" s="32" t="s">
        <v>7</v>
      </c>
      <c r="D103" s="84">
        <f>0.16*5*0.395/1000*388</f>
        <v>0.12260800000000001</v>
      </c>
      <c r="E103" s="84">
        <f>0.16*5*0.395/1000*668</f>
        <v>0.21108800000000003</v>
      </c>
      <c r="F103" s="90"/>
      <c r="G103" s="40"/>
    </row>
    <row r="104" spans="1:7">
      <c r="A104" s="32"/>
      <c r="B104" s="42" t="s">
        <v>142</v>
      </c>
      <c r="C104" s="43"/>
      <c r="D104" s="90"/>
      <c r="E104" s="90"/>
      <c r="F104" s="90"/>
      <c r="G104" s="40"/>
    </row>
    <row r="105" spans="1:7">
      <c r="A105" s="32"/>
      <c r="B105" s="38" t="s">
        <v>20</v>
      </c>
      <c r="C105" s="32" t="s">
        <v>7</v>
      </c>
      <c r="D105" s="85"/>
      <c r="E105" s="84">
        <f>2.14*2*0.888/1000*56</f>
        <v>0.21283584000000003</v>
      </c>
      <c r="F105" s="90"/>
      <c r="G105" s="40"/>
    </row>
    <row r="106" spans="1:7">
      <c r="A106" s="32"/>
      <c r="B106" s="38" t="s">
        <v>19</v>
      </c>
      <c r="C106" s="32" t="s">
        <v>7</v>
      </c>
      <c r="D106" s="85"/>
      <c r="E106" s="84">
        <f>0.16*11*0.395/1000*56</f>
        <v>3.8931200000000006E-2</v>
      </c>
      <c r="F106" s="90"/>
      <c r="G106" s="40"/>
    </row>
    <row r="107" spans="1:7">
      <c r="A107" s="33">
        <v>4</v>
      </c>
      <c r="B107" s="88" t="s">
        <v>103</v>
      </c>
      <c r="C107" s="32"/>
      <c r="D107" s="85"/>
      <c r="E107" s="85"/>
      <c r="F107" s="90"/>
      <c r="G107" s="40"/>
    </row>
    <row r="108" spans="1:7">
      <c r="A108" s="32"/>
      <c r="B108" s="38" t="s">
        <v>102</v>
      </c>
      <c r="C108" s="32" t="s">
        <v>0</v>
      </c>
      <c r="D108" s="90"/>
      <c r="E108" s="84">
        <v>0.8</v>
      </c>
      <c r="F108" s="89">
        <f>D108+E108</f>
        <v>0.8</v>
      </c>
      <c r="G108" s="40"/>
    </row>
    <row r="109" spans="1:7">
      <c r="A109" s="32"/>
      <c r="B109" s="5" t="s">
        <v>46</v>
      </c>
      <c r="C109" s="32" t="s">
        <v>0</v>
      </c>
      <c r="D109" s="39"/>
      <c r="E109" s="84">
        <v>2.1</v>
      </c>
      <c r="F109" s="89">
        <f>D109+E109</f>
        <v>2.1</v>
      </c>
      <c r="G109" s="34"/>
    </row>
    <row r="111" spans="1:7">
      <c r="A111" s="203" t="s">
        <v>143</v>
      </c>
      <c r="B111" s="203"/>
      <c r="C111" s="203"/>
      <c r="D111" s="203"/>
      <c r="E111" s="203"/>
      <c r="F111" s="203"/>
      <c r="G111" s="203"/>
    </row>
    <row r="112" spans="1:7">
      <c r="G112" s="48">
        <v>46269</v>
      </c>
    </row>
    <row r="119" ht="27" customHeight="1"/>
  </sheetData>
  <mergeCells count="12">
    <mergeCell ref="G5:G6"/>
    <mergeCell ref="A111:G111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6D76-1B69-436D-819D-99431DA1F1E3}">
  <sheetPr>
    <tabColor rgb="FF92D050"/>
  </sheetPr>
  <dimension ref="A1:H22"/>
  <sheetViews>
    <sheetView zoomScaleNormal="100" workbookViewId="0">
      <selection activeCell="F10" sqref="F10:F15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5" width="9.42578125" style="28" bestFit="1" customWidth="1"/>
    <col min="6" max="6" width="13.5703125" style="37" customWidth="1"/>
    <col min="7" max="7" width="17.5703125" style="47" customWidth="1"/>
    <col min="8" max="8" width="13.140625" style="28" bestFit="1" customWidth="1"/>
    <col min="9" max="16384" width="9.140625" style="28"/>
  </cols>
  <sheetData>
    <row r="1" spans="1:8" ht="15.7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7.5" customHeight="1">
      <c r="A2" s="198" t="s">
        <v>47</v>
      </c>
      <c r="B2" s="198"/>
      <c r="C2" s="198"/>
      <c r="D2" s="198"/>
      <c r="E2" s="198"/>
      <c r="F2" s="198"/>
      <c r="G2" s="198"/>
    </row>
    <row r="3" spans="1:8" ht="15" customHeight="1">
      <c r="A3" s="199" t="s">
        <v>48</v>
      </c>
      <c r="B3" s="199"/>
      <c r="C3" s="199"/>
      <c r="D3" s="199"/>
      <c r="E3" s="199"/>
      <c r="F3" s="199"/>
      <c r="G3" s="199"/>
    </row>
    <row r="4" spans="1:8" ht="19.5" customHeight="1">
      <c r="A4" s="205" t="s">
        <v>115</v>
      </c>
      <c r="B4" s="205"/>
      <c r="C4" s="2"/>
      <c r="D4" s="2"/>
      <c r="E4" s="2"/>
      <c r="F4" s="2"/>
      <c r="G4" s="2"/>
    </row>
    <row r="5" spans="1:8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8" s="29" customFormat="1" ht="15.75" customHeight="1">
      <c r="A6" s="202"/>
      <c r="B6" s="202"/>
      <c r="C6" s="202"/>
      <c r="D6" s="202"/>
      <c r="E6" s="202"/>
      <c r="F6" s="202"/>
      <c r="G6" s="204"/>
    </row>
    <row r="7" spans="1:8" ht="15.75">
      <c r="A7" s="30">
        <v>1</v>
      </c>
      <c r="B7" s="31" t="s">
        <v>144</v>
      </c>
      <c r="C7" s="32"/>
      <c r="D7" s="32"/>
      <c r="E7" s="32"/>
      <c r="F7" s="33"/>
      <c r="G7" s="34"/>
    </row>
    <row r="8" spans="1:8" s="37" customFormat="1" ht="16.5" customHeight="1">
      <c r="A8" s="33"/>
      <c r="B8" s="35" t="s">
        <v>24</v>
      </c>
      <c r="C8" s="33" t="s">
        <v>0</v>
      </c>
      <c r="D8" s="92">
        <v>244.6</v>
      </c>
      <c r="E8" s="92">
        <v>667.5</v>
      </c>
      <c r="F8" s="83">
        <f t="shared" ref="F8:F15" si="0">D8+E8</f>
        <v>912.1</v>
      </c>
      <c r="G8" s="206" t="s">
        <v>114</v>
      </c>
      <c r="H8" s="36">
        <f>SUM(F10:F15)</f>
        <v>93.667446850000005</v>
      </c>
    </row>
    <row r="9" spans="1:8" s="37" customFormat="1" ht="16.5" customHeight="1">
      <c r="A9" s="33"/>
      <c r="B9" s="35" t="s">
        <v>169</v>
      </c>
      <c r="C9" s="33" t="s">
        <v>0</v>
      </c>
      <c r="D9" s="92">
        <v>13.5</v>
      </c>
      <c r="E9" s="92"/>
      <c r="F9" s="83">
        <f t="shared" si="0"/>
        <v>13.5</v>
      </c>
      <c r="G9" s="207"/>
      <c r="H9" s="36"/>
    </row>
    <row r="10" spans="1:8" s="37" customFormat="1" ht="16.5" customHeight="1">
      <c r="A10" s="33"/>
      <c r="B10" s="38" t="s">
        <v>21</v>
      </c>
      <c r="C10" s="32" t="s">
        <v>7</v>
      </c>
      <c r="D10" s="93">
        <f>110.9*0.222/1000</f>
        <v>2.4619800000000001E-2</v>
      </c>
      <c r="E10" s="93">
        <f>100.3*0.222/1000</f>
        <v>2.2266600000000001E-2</v>
      </c>
      <c r="F10" s="84">
        <f t="shared" si="0"/>
        <v>4.6886400000000002E-2</v>
      </c>
      <c r="G10" s="207"/>
      <c r="H10" s="37">
        <f>H8/(F8+F9)</f>
        <v>0.10119646375324114</v>
      </c>
    </row>
    <row r="11" spans="1:8" s="37" customFormat="1" ht="16.5" customHeight="1">
      <c r="A11" s="33"/>
      <c r="B11" s="38" t="s">
        <v>19</v>
      </c>
      <c r="C11" s="32" t="s">
        <v>7</v>
      </c>
      <c r="D11" s="84">
        <f>(754.5+999.3+1.09*1896+13054.2)*0.395/1000</f>
        <v>6.6654827999999995</v>
      </c>
      <c r="E11" s="84">
        <f>(1389.7+1.21*5119+34458.5)*0.395/1000</f>
        <v>16.606665050000004</v>
      </c>
      <c r="F11" s="84">
        <f t="shared" si="0"/>
        <v>23.272147850000003</v>
      </c>
      <c r="G11" s="207"/>
    </row>
    <row r="12" spans="1:8" s="37" customFormat="1" ht="16.5" customHeight="1">
      <c r="A12" s="33"/>
      <c r="B12" s="38" t="s">
        <v>20</v>
      </c>
      <c r="C12" s="32" t="s">
        <v>7</v>
      </c>
      <c r="D12" s="84">
        <f>(1142.7+15545.3)*0.888/1000</f>
        <v>14.818944</v>
      </c>
      <c r="E12" s="84">
        <f>(2289+42282.4)*0.888/1000</f>
        <v>39.579403200000002</v>
      </c>
      <c r="F12" s="84">
        <f t="shared" si="0"/>
        <v>54.398347200000003</v>
      </c>
      <c r="G12" s="207"/>
    </row>
    <row r="13" spans="1:8" s="37" customFormat="1" ht="16.5" customHeight="1">
      <c r="A13" s="33"/>
      <c r="B13" s="38" t="s">
        <v>17</v>
      </c>
      <c r="C13" s="32" t="s">
        <v>7</v>
      </c>
      <c r="D13" s="84">
        <f>2259.7*1.578/1000</f>
        <v>3.5658065999999997</v>
      </c>
      <c r="E13" s="84">
        <f>4583*1.578/1000</f>
        <v>7.2319740000000001</v>
      </c>
      <c r="F13" s="84">
        <f t="shared" si="0"/>
        <v>10.797780599999999</v>
      </c>
      <c r="G13" s="207"/>
    </row>
    <row r="14" spans="1:8" s="37" customFormat="1" ht="16.5" customHeight="1">
      <c r="A14" s="33"/>
      <c r="B14" s="38" t="s">
        <v>22</v>
      </c>
      <c r="C14" s="32" t="s">
        <v>7</v>
      </c>
      <c r="D14" s="39"/>
      <c r="E14" s="84">
        <f>315.3*2.466/1000</f>
        <v>0.77752980000000016</v>
      </c>
      <c r="F14" s="84">
        <f t="shared" si="0"/>
        <v>0.77752980000000016</v>
      </c>
      <c r="G14" s="207"/>
    </row>
    <row r="15" spans="1:8" s="37" customFormat="1" ht="16.5" customHeight="1">
      <c r="A15" s="33"/>
      <c r="B15" s="38" t="s">
        <v>26</v>
      </c>
      <c r="C15" s="32" t="s">
        <v>7</v>
      </c>
      <c r="D15" s="84">
        <f>839*3.85/1000</f>
        <v>3.2301500000000001</v>
      </c>
      <c r="E15" s="84">
        <f>297.3*3.85/1000</f>
        <v>1.1446050000000001</v>
      </c>
      <c r="F15" s="84">
        <f t="shared" si="0"/>
        <v>4.3747550000000004</v>
      </c>
      <c r="G15" s="207"/>
    </row>
    <row r="16" spans="1:8" ht="15.75">
      <c r="A16" s="30">
        <v>2</v>
      </c>
      <c r="B16" s="31" t="s">
        <v>111</v>
      </c>
      <c r="C16" s="32"/>
      <c r="D16" s="32"/>
      <c r="E16" s="32"/>
      <c r="F16" s="32"/>
      <c r="G16" s="45"/>
    </row>
    <row r="17" spans="1:7">
      <c r="A17" s="32"/>
      <c r="B17" s="38" t="s">
        <v>112</v>
      </c>
      <c r="C17" s="32" t="s">
        <v>0</v>
      </c>
      <c r="D17" s="209">
        <v>1.1000000000000001</v>
      </c>
      <c r="E17" s="210"/>
      <c r="F17" s="84">
        <f>D17+E17</f>
        <v>1.1000000000000001</v>
      </c>
      <c r="G17" s="45"/>
    </row>
    <row r="18" spans="1:7">
      <c r="A18" s="32"/>
      <c r="B18" s="38" t="s">
        <v>102</v>
      </c>
      <c r="C18" s="32" t="s">
        <v>0</v>
      </c>
      <c r="D18" s="209">
        <v>0.24</v>
      </c>
      <c r="E18" s="210"/>
      <c r="F18" s="84">
        <f>D18+E18</f>
        <v>0.24</v>
      </c>
      <c r="G18" s="45"/>
    </row>
    <row r="21" spans="1:7" ht="27" customHeight="1">
      <c r="A21" s="203" t="s">
        <v>143</v>
      </c>
      <c r="B21" s="203"/>
      <c r="C21" s="203"/>
      <c r="D21" s="203"/>
      <c r="E21" s="203"/>
      <c r="F21" s="203"/>
      <c r="G21" s="203"/>
    </row>
    <row r="22" spans="1:7">
      <c r="G22" s="48">
        <v>46269</v>
      </c>
    </row>
  </sheetData>
  <mergeCells count="15">
    <mergeCell ref="G8:G15"/>
    <mergeCell ref="A21:G21"/>
    <mergeCell ref="D17:E17"/>
    <mergeCell ref="D18:E18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1E53-0429-4C5E-B1DE-5DDF818A5474}">
  <sheetPr>
    <tabColor rgb="FF92D050"/>
  </sheetPr>
  <dimension ref="A1:I143"/>
  <sheetViews>
    <sheetView topLeftCell="A100" zoomScaleNormal="100" workbookViewId="0">
      <selection activeCell="H36" sqref="H36"/>
    </sheetView>
  </sheetViews>
  <sheetFormatPr defaultRowHeight="15"/>
  <cols>
    <col min="1" max="1" width="4.85546875" style="28" customWidth="1"/>
    <col min="2" max="2" width="75" style="46" customWidth="1"/>
    <col min="3" max="5" width="9.140625" style="28"/>
    <col min="6" max="6" width="13.5703125" style="37" customWidth="1"/>
    <col min="7" max="7" width="11.7109375" style="47" customWidth="1"/>
    <col min="8" max="8" width="13.140625" style="28" bestFit="1" customWidth="1"/>
    <col min="9" max="16384" width="9.140625" style="28"/>
  </cols>
  <sheetData>
    <row r="1" spans="1:9" ht="15.75" customHeight="1">
      <c r="A1" s="198" t="s">
        <v>49</v>
      </c>
      <c r="B1" s="198"/>
      <c r="C1" s="198"/>
      <c r="D1" s="198"/>
      <c r="E1" s="198"/>
      <c r="F1" s="198"/>
      <c r="G1" s="198"/>
      <c r="H1" s="80"/>
      <c r="I1" s="80"/>
    </row>
    <row r="2" spans="1:9" ht="37.5" customHeight="1">
      <c r="A2" s="198" t="s">
        <v>47</v>
      </c>
      <c r="B2" s="198"/>
      <c r="C2" s="198"/>
      <c r="D2" s="198"/>
      <c r="E2" s="198"/>
      <c r="F2" s="198"/>
      <c r="G2" s="198"/>
      <c r="H2" s="80"/>
      <c r="I2" s="80"/>
    </row>
    <row r="3" spans="1:9" ht="15" customHeight="1">
      <c r="A3" s="199" t="s">
        <v>48</v>
      </c>
      <c r="B3" s="199"/>
      <c r="C3" s="199"/>
      <c r="D3" s="199"/>
      <c r="E3" s="199"/>
      <c r="F3" s="199"/>
      <c r="G3" s="199"/>
      <c r="H3" s="81"/>
      <c r="I3" s="81"/>
    </row>
    <row r="4" spans="1:9" ht="19.5" customHeight="1">
      <c r="A4" s="205" t="s">
        <v>115</v>
      </c>
      <c r="B4" s="205"/>
      <c r="C4" s="2"/>
      <c r="D4" s="2"/>
      <c r="E4" s="2"/>
      <c r="F4" s="2"/>
      <c r="G4" s="2"/>
      <c r="H4" s="19"/>
      <c r="I4" s="16"/>
    </row>
    <row r="5" spans="1:9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9" s="29" customFormat="1" ht="15.75" customHeight="1">
      <c r="A6" s="202"/>
      <c r="B6" s="202"/>
      <c r="C6" s="202"/>
      <c r="D6" s="202"/>
      <c r="E6" s="202"/>
      <c r="F6" s="202"/>
      <c r="G6" s="204"/>
    </row>
    <row r="7" spans="1:9" ht="15.75">
      <c r="A7" s="30">
        <v>1</v>
      </c>
      <c r="B7" s="31" t="s">
        <v>172</v>
      </c>
      <c r="C7" s="32"/>
      <c r="D7" s="32"/>
      <c r="E7" s="32"/>
      <c r="F7" s="33"/>
      <c r="G7" s="34"/>
    </row>
    <row r="8" spans="1:9" s="37" customFormat="1" ht="16.5" customHeight="1">
      <c r="A8" s="33"/>
      <c r="B8" s="35" t="s">
        <v>66</v>
      </c>
      <c r="C8" s="33" t="s">
        <v>0</v>
      </c>
      <c r="D8" s="83">
        <v>175</v>
      </c>
      <c r="E8" s="83"/>
      <c r="F8" s="83">
        <f t="shared" ref="F8:F15" si="0">D8+E8</f>
        <v>175</v>
      </c>
      <c r="G8" s="40">
        <f>G11/(F8+F9)</f>
        <v>0.13231647439506178</v>
      </c>
      <c r="H8" s="36"/>
    </row>
    <row r="9" spans="1:9" s="37" customFormat="1" ht="16.5" customHeight="1">
      <c r="A9" s="33"/>
      <c r="B9" s="35" t="s">
        <v>24</v>
      </c>
      <c r="C9" s="33" t="s">
        <v>0</v>
      </c>
      <c r="D9" s="83"/>
      <c r="E9" s="83">
        <v>635</v>
      </c>
      <c r="F9" s="83">
        <f t="shared" si="0"/>
        <v>635</v>
      </c>
      <c r="G9" s="40"/>
      <c r="H9" s="36"/>
    </row>
    <row r="10" spans="1:9" s="37" customFormat="1" ht="16.5" customHeight="1">
      <c r="A10" s="33"/>
      <c r="B10" s="38" t="s">
        <v>26</v>
      </c>
      <c r="C10" s="32" t="s">
        <v>7</v>
      </c>
      <c r="D10" s="84">
        <f>267*3.853/1000</f>
        <v>1.028751</v>
      </c>
      <c r="E10" s="84">
        <f>501*3.853/1000</f>
        <v>1.930353</v>
      </c>
      <c r="F10" s="89">
        <f t="shared" si="0"/>
        <v>2.959104</v>
      </c>
      <c r="G10" s="40"/>
    </row>
    <row r="11" spans="1:9" s="37" customFormat="1" ht="16.5" customHeight="1">
      <c r="A11" s="33"/>
      <c r="B11" s="38" t="s">
        <v>22</v>
      </c>
      <c r="C11" s="32" t="s">
        <v>7</v>
      </c>
      <c r="D11" s="84">
        <f>303*2.466/1000</f>
        <v>0.74719800000000014</v>
      </c>
      <c r="E11" s="84">
        <f>232*2.466/1000</f>
        <v>0.57211200000000006</v>
      </c>
      <c r="F11" s="89">
        <f t="shared" si="0"/>
        <v>1.3193100000000002</v>
      </c>
      <c r="G11" s="40">
        <f>SUM(F10:F15,F17:F21,F46:F49)</f>
        <v>107.17634426000004</v>
      </c>
    </row>
    <row r="12" spans="1:9">
      <c r="A12" s="32"/>
      <c r="B12" s="38" t="s">
        <v>17</v>
      </c>
      <c r="C12" s="32" t="s">
        <v>7</v>
      </c>
      <c r="D12" s="84">
        <f>155*1.578/1000</f>
        <v>0.24459</v>
      </c>
      <c r="E12" s="84">
        <f>649*1.578/1000</f>
        <v>1.024122</v>
      </c>
      <c r="F12" s="89">
        <f t="shared" si="0"/>
        <v>1.2687120000000001</v>
      </c>
      <c r="G12" s="40"/>
    </row>
    <row r="13" spans="1:9" ht="15.75" customHeight="1">
      <c r="A13" s="32"/>
      <c r="B13" s="38" t="s">
        <v>20</v>
      </c>
      <c r="C13" s="32" t="s">
        <v>7</v>
      </c>
      <c r="D13" s="84">
        <f>(1424+94)*0.888/1000</f>
        <v>1.3479839999999998</v>
      </c>
      <c r="E13" s="84">
        <f>(9072+686)*0.888/1000</f>
        <v>8.6651039999999995</v>
      </c>
      <c r="F13" s="89">
        <f t="shared" si="0"/>
        <v>10.013088</v>
      </c>
      <c r="G13" s="40"/>
    </row>
    <row r="14" spans="1:9" ht="15.75" customHeight="1">
      <c r="A14" s="32"/>
      <c r="B14" s="38" t="s">
        <v>19</v>
      </c>
      <c r="C14" s="32" t="s">
        <v>7</v>
      </c>
      <c r="D14" s="84">
        <f>(6901+2911)*0.395/1000</f>
        <v>3.8757400000000004</v>
      </c>
      <c r="E14" s="84">
        <f>(19386+8469+1131)*0.395/1000</f>
        <v>11.449470000000002</v>
      </c>
      <c r="F14" s="89">
        <f t="shared" si="0"/>
        <v>15.325210000000002</v>
      </c>
      <c r="G14" s="49"/>
    </row>
    <row r="15" spans="1:9">
      <c r="A15" s="32"/>
      <c r="B15" s="38" t="s">
        <v>23</v>
      </c>
      <c r="C15" s="32" t="s">
        <v>7</v>
      </c>
      <c r="D15" s="85"/>
      <c r="E15" s="84">
        <f>701*0.395/1000</f>
        <v>0.27689500000000006</v>
      </c>
      <c r="F15" s="89">
        <f t="shared" si="0"/>
        <v>0.27689500000000006</v>
      </c>
      <c r="G15" s="40"/>
    </row>
    <row r="16" spans="1:9" ht="15.75">
      <c r="A16" s="33">
        <v>2</v>
      </c>
      <c r="B16" s="82" t="s">
        <v>67</v>
      </c>
      <c r="C16" s="32"/>
      <c r="D16" s="39"/>
      <c r="E16" s="39"/>
      <c r="F16" s="39"/>
      <c r="G16" s="40"/>
      <c r="H16" s="72"/>
    </row>
    <row r="17" spans="1:8">
      <c r="A17" s="32"/>
      <c r="B17" s="42" t="s">
        <v>76</v>
      </c>
      <c r="C17" s="43" t="s">
        <v>7</v>
      </c>
      <c r="D17" s="89">
        <f>D40+D43</f>
        <v>0</v>
      </c>
      <c r="E17" s="89">
        <f>E40+E43</f>
        <v>5.1785999999999994</v>
      </c>
      <c r="F17" s="89">
        <f>D17+E17</f>
        <v>5.1785999999999994</v>
      </c>
      <c r="G17" s="40"/>
    </row>
    <row r="18" spans="1:8">
      <c r="A18" s="32"/>
      <c r="B18" s="42" t="s">
        <v>68</v>
      </c>
      <c r="C18" s="43" t="s">
        <v>7</v>
      </c>
      <c r="D18" s="89">
        <f>D23+D26+D29+D32+D36</f>
        <v>1.192968</v>
      </c>
      <c r="E18" s="89">
        <f>E23+E26+E29+E32+E36</f>
        <v>4.3463169600000002</v>
      </c>
      <c r="F18" s="89">
        <f>D18+E18</f>
        <v>5.5392849599999998</v>
      </c>
      <c r="G18" s="40"/>
    </row>
    <row r="19" spans="1:8">
      <c r="A19" s="32"/>
      <c r="B19" s="42" t="s">
        <v>71</v>
      </c>
      <c r="C19" s="43" t="s">
        <v>7</v>
      </c>
      <c r="D19" s="89">
        <f>D41+D44</f>
        <v>0</v>
      </c>
      <c r="E19" s="89">
        <f>E41+E44</f>
        <v>2.24824928</v>
      </c>
      <c r="F19" s="89">
        <f>D19+E19</f>
        <v>2.24824928</v>
      </c>
      <c r="G19" s="40"/>
    </row>
    <row r="20" spans="1:8">
      <c r="A20" s="32"/>
      <c r="B20" s="42" t="s">
        <v>70</v>
      </c>
      <c r="C20" s="43" t="s">
        <v>7</v>
      </c>
      <c r="D20" s="89">
        <f>D24+D27+D30+D33+D37</f>
        <v>0.27259739999999999</v>
      </c>
      <c r="E20" s="89">
        <f>E24+E27+E30+E33+E37</f>
        <v>1.1518279</v>
      </c>
      <c r="F20" s="89">
        <f>D20+E20</f>
        <v>1.4244253</v>
      </c>
      <c r="G20" s="40"/>
    </row>
    <row r="21" spans="1:8">
      <c r="A21" s="32"/>
      <c r="B21" s="42" t="s">
        <v>105</v>
      </c>
      <c r="C21" s="43" t="s">
        <v>7</v>
      </c>
      <c r="D21" s="89">
        <f>D34+D38</f>
        <v>0</v>
      </c>
      <c r="E21" s="89">
        <f>E34+E38</f>
        <v>9.5937600000000012E-2</v>
      </c>
      <c r="F21" s="89">
        <f>D21+E21</f>
        <v>9.5937600000000012E-2</v>
      </c>
      <c r="G21" s="40"/>
    </row>
    <row r="22" spans="1:8">
      <c r="A22" s="32"/>
      <c r="B22" s="42" t="s">
        <v>145</v>
      </c>
      <c r="C22" s="43"/>
      <c r="D22" s="90"/>
      <c r="E22" s="90"/>
      <c r="F22" s="90"/>
      <c r="G22" s="40"/>
    </row>
    <row r="23" spans="1:8">
      <c r="A23" s="32"/>
      <c r="B23" s="38" t="s">
        <v>17</v>
      </c>
      <c r="C23" s="32" t="s">
        <v>7</v>
      </c>
      <c r="D23" s="85"/>
      <c r="E23" s="84">
        <f>(2.45*8)*1.578/1000*8</f>
        <v>0.24743040000000002</v>
      </c>
      <c r="F23" s="90"/>
      <c r="G23" s="40"/>
    </row>
    <row r="24" spans="1:8">
      <c r="A24" s="32"/>
      <c r="B24" s="38" t="s">
        <v>19</v>
      </c>
      <c r="C24" s="32" t="s">
        <v>7</v>
      </c>
      <c r="D24" s="85"/>
      <c r="E24" s="84">
        <f>(1.42*17)*0.395/1000*8</f>
        <v>7.6282400000000014E-2</v>
      </c>
      <c r="F24" s="90"/>
      <c r="G24" s="40"/>
    </row>
    <row r="25" spans="1:8">
      <c r="A25" s="32"/>
      <c r="B25" s="42" t="s">
        <v>146</v>
      </c>
      <c r="C25" s="43"/>
      <c r="D25" s="90"/>
      <c r="E25" s="90"/>
      <c r="F25" s="90"/>
      <c r="G25" s="40"/>
    </row>
    <row r="26" spans="1:8">
      <c r="A26" s="32"/>
      <c r="B26" s="38" t="s">
        <v>17</v>
      </c>
      <c r="C26" s="32" t="s">
        <v>7</v>
      </c>
      <c r="D26" s="85"/>
      <c r="E26" s="84">
        <f>(3.87*8)*1.578/1000*2</f>
        <v>9.7709760000000007E-2</v>
      </c>
      <c r="F26" s="90"/>
      <c r="G26" s="40"/>
    </row>
    <row r="27" spans="1:8">
      <c r="A27" s="32"/>
      <c r="B27" s="38" t="s">
        <v>19</v>
      </c>
      <c r="C27" s="32" t="s">
        <v>7</v>
      </c>
      <c r="D27" s="85"/>
      <c r="E27" s="84">
        <f>(1.42*27)*0.395/1000*2</f>
        <v>3.0288599999999999E-2</v>
      </c>
      <c r="F27" s="90"/>
      <c r="G27" s="40"/>
    </row>
    <row r="28" spans="1:8">
      <c r="A28" s="32"/>
      <c r="B28" s="42" t="s">
        <v>147</v>
      </c>
      <c r="C28" s="43"/>
      <c r="D28" s="90"/>
      <c r="E28" s="90"/>
      <c r="F28" s="90"/>
      <c r="G28" s="40"/>
    </row>
    <row r="29" spans="1:8">
      <c r="A29" s="32"/>
      <c r="B29" s="38" t="s">
        <v>17</v>
      </c>
      <c r="C29" s="32" t="s">
        <v>7</v>
      </c>
      <c r="D29" s="84">
        <f>(5.25*8)*1.578/1000*18</f>
        <v>1.192968</v>
      </c>
      <c r="E29" s="84">
        <f>(5.25*8)*1.578/1000*45</f>
        <v>2.9824200000000003</v>
      </c>
      <c r="F29" s="90"/>
      <c r="G29" s="40"/>
    </row>
    <row r="30" spans="1:8">
      <c r="A30" s="32"/>
      <c r="B30" s="38" t="s">
        <v>19</v>
      </c>
      <c r="C30" s="32" t="s">
        <v>7</v>
      </c>
      <c r="D30" s="84">
        <f>(1.42*27)*0.395/1000*18</f>
        <v>0.27259739999999999</v>
      </c>
      <c r="E30" s="84">
        <f>(1.42*27)*0.395/1000*45</f>
        <v>0.68149349999999997</v>
      </c>
      <c r="F30" s="90"/>
      <c r="G30" s="40"/>
    </row>
    <row r="31" spans="1:8">
      <c r="A31" s="32"/>
      <c r="B31" s="42" t="s">
        <v>148</v>
      </c>
      <c r="C31" s="43"/>
      <c r="D31" s="90"/>
      <c r="E31" s="90"/>
      <c r="F31" s="90"/>
      <c r="G31" s="40"/>
      <c r="H31" s="41"/>
    </row>
    <row r="32" spans="1:8">
      <c r="A32" s="32"/>
      <c r="B32" s="38" t="s">
        <v>17</v>
      </c>
      <c r="C32" s="32" t="s">
        <v>7</v>
      </c>
      <c r="D32" s="85"/>
      <c r="E32" s="84">
        <f>(3.87*8)*1.578/1000*10</f>
        <v>0.48854880000000001</v>
      </c>
      <c r="F32" s="90"/>
      <c r="G32" s="40"/>
      <c r="H32" s="41"/>
    </row>
    <row r="33" spans="1:8">
      <c r="A33" s="32"/>
      <c r="B33" s="38" t="s">
        <v>19</v>
      </c>
      <c r="C33" s="32" t="s">
        <v>7</v>
      </c>
      <c r="D33" s="85"/>
      <c r="E33" s="84">
        <f>(1.82*29)*0.395/1000*10</f>
        <v>0.20848100000000003</v>
      </c>
      <c r="F33" s="90"/>
      <c r="G33" s="40"/>
      <c r="H33" s="41"/>
    </row>
    <row r="34" spans="1:8">
      <c r="A34" s="32"/>
      <c r="B34" s="38" t="s">
        <v>23</v>
      </c>
      <c r="C34" s="32" t="s">
        <v>7</v>
      </c>
      <c r="D34" s="85"/>
      <c r="E34" s="84">
        <f>(0.48*29)*0.395/1000*10</f>
        <v>5.4984000000000005E-2</v>
      </c>
      <c r="F34" s="90"/>
      <c r="G34" s="40"/>
      <c r="H34" s="41"/>
    </row>
    <row r="35" spans="1:8">
      <c r="A35" s="32"/>
      <c r="B35" s="42" t="s">
        <v>149</v>
      </c>
      <c r="C35" s="43"/>
      <c r="D35" s="90"/>
      <c r="E35" s="90"/>
      <c r="F35" s="90"/>
      <c r="G35" s="40"/>
      <c r="H35" s="41"/>
    </row>
    <row r="36" spans="1:8">
      <c r="A36" s="32"/>
      <c r="B36" s="38" t="s">
        <v>17</v>
      </c>
      <c r="C36" s="32" t="s">
        <v>7</v>
      </c>
      <c r="D36" s="85"/>
      <c r="E36" s="84">
        <f>(5.25*8)*1.578/1000*8</f>
        <v>0.53020800000000001</v>
      </c>
      <c r="F36" s="90"/>
      <c r="G36" s="40"/>
      <c r="H36" s="41"/>
    </row>
    <row r="37" spans="1:8">
      <c r="A37" s="32"/>
      <c r="B37" s="38" t="s">
        <v>19</v>
      </c>
      <c r="C37" s="32" t="s">
        <v>7</v>
      </c>
      <c r="D37" s="85"/>
      <c r="E37" s="84">
        <f>(1.82*27)*0.395/1000*8</f>
        <v>0.15528239999999999</v>
      </c>
      <c r="F37" s="90"/>
      <c r="G37" s="40"/>
      <c r="H37" s="41"/>
    </row>
    <row r="38" spans="1:8">
      <c r="A38" s="32"/>
      <c r="B38" s="38" t="s">
        <v>23</v>
      </c>
      <c r="C38" s="32" t="s">
        <v>7</v>
      </c>
      <c r="D38" s="85"/>
      <c r="E38" s="84">
        <f>(0.48*27)*0.395/1000*8</f>
        <v>4.09536E-2</v>
      </c>
      <c r="F38" s="90"/>
      <c r="G38" s="40"/>
      <c r="H38" s="41"/>
    </row>
    <row r="39" spans="1:8">
      <c r="A39" s="32"/>
      <c r="B39" s="42" t="s">
        <v>150</v>
      </c>
      <c r="C39" s="43"/>
      <c r="D39" s="90"/>
      <c r="E39" s="90"/>
      <c r="F39" s="90"/>
      <c r="G39" s="40"/>
      <c r="H39" s="41"/>
    </row>
    <row r="40" spans="1:8">
      <c r="A40" s="32"/>
      <c r="B40" s="38" t="s">
        <v>22</v>
      </c>
      <c r="C40" s="32" t="s">
        <v>7</v>
      </c>
      <c r="D40" s="85"/>
      <c r="E40" s="84">
        <f>(2.45*12)*2.466/1000*12</f>
        <v>0.87000480000000002</v>
      </c>
      <c r="F40" s="90"/>
      <c r="G40" s="40"/>
      <c r="H40" s="41"/>
    </row>
    <row r="41" spans="1:8">
      <c r="A41" s="32"/>
      <c r="B41" s="38" t="s">
        <v>18</v>
      </c>
      <c r="C41" s="32" t="s">
        <v>7</v>
      </c>
      <c r="D41" s="85"/>
      <c r="E41" s="84">
        <f>(1.93*36)*0.617/1000*12</f>
        <v>0.51442991999999998</v>
      </c>
      <c r="F41" s="90"/>
      <c r="G41" s="40"/>
      <c r="H41" s="41"/>
    </row>
    <row r="42" spans="1:8">
      <c r="A42" s="32"/>
      <c r="B42" s="42" t="s">
        <v>151</v>
      </c>
      <c r="C42" s="43"/>
      <c r="D42" s="90"/>
      <c r="E42" s="90"/>
      <c r="F42" s="90"/>
      <c r="G42" s="40"/>
      <c r="H42" s="41"/>
    </row>
    <row r="43" spans="1:8">
      <c r="A43" s="32"/>
      <c r="B43" s="38" t="s">
        <v>22</v>
      </c>
      <c r="C43" s="32" t="s">
        <v>7</v>
      </c>
      <c r="D43" s="85"/>
      <c r="E43" s="84">
        <f>(5.6*12)*2.466/1000*26</f>
        <v>4.3085951999999992</v>
      </c>
      <c r="F43" s="90"/>
      <c r="G43" s="40"/>
      <c r="H43" s="41"/>
    </row>
    <row r="44" spans="1:8">
      <c r="A44" s="32"/>
      <c r="B44" s="38" t="s">
        <v>18</v>
      </c>
      <c r="C44" s="32" t="s">
        <v>7</v>
      </c>
      <c r="D44" s="85"/>
      <c r="E44" s="84">
        <f>(1.93*56)*0.617/1000*26</f>
        <v>1.73381936</v>
      </c>
      <c r="F44" s="90"/>
      <c r="G44" s="40"/>
    </row>
    <row r="45" spans="1:8" ht="15.75">
      <c r="A45" s="33">
        <v>3</v>
      </c>
      <c r="B45" s="82" t="s">
        <v>77</v>
      </c>
      <c r="C45" s="32"/>
      <c r="D45" s="44"/>
      <c r="E45" s="44"/>
      <c r="F45" s="44"/>
      <c r="G45" s="40"/>
    </row>
    <row r="46" spans="1:8">
      <c r="A46" s="32"/>
      <c r="B46" s="42" t="s">
        <v>68</v>
      </c>
      <c r="C46" s="43" t="s">
        <v>7</v>
      </c>
      <c r="D46" s="89">
        <f>D60+D63+D66+D69</f>
        <v>1.27237296</v>
      </c>
      <c r="E46" s="89">
        <f>E60+E63+E66+E69</f>
        <v>15.92230404</v>
      </c>
      <c r="F46" s="89">
        <f>D46+E46</f>
        <v>17.194676999999999</v>
      </c>
      <c r="G46" s="40"/>
    </row>
    <row r="47" spans="1:8">
      <c r="A47" s="32"/>
      <c r="B47" s="42" t="s">
        <v>69</v>
      </c>
      <c r="C47" s="43" t="s">
        <v>7</v>
      </c>
      <c r="D47" s="89">
        <f>D51+D54+D57+D72+D75+D78+D81+D84+D87+D90+D93+D96+D99+D102+D105+D108+D111+D114+D117+D120+D123+D126</f>
        <v>10.074875040000002</v>
      </c>
      <c r="E47" s="89">
        <f>E51+E54+E57+E72+E75+E78+E81+E84+E87+E90+E93+E96+E99+E102+E105+E108+E111+E114+E117+E120+E123+E126</f>
        <v>27.545866560000007</v>
      </c>
      <c r="F47" s="89">
        <f>D47+E47</f>
        <v>37.620741600000009</v>
      </c>
      <c r="G47" s="40"/>
    </row>
    <row r="48" spans="1:8">
      <c r="A48" s="32"/>
      <c r="B48" s="42" t="s">
        <v>71</v>
      </c>
      <c r="C48" s="43" t="s">
        <v>7</v>
      </c>
      <c r="D48" s="89">
        <f>D70</f>
        <v>0.27009791999999999</v>
      </c>
      <c r="E48" s="89">
        <f>E70</f>
        <v>0.16881119999999999</v>
      </c>
      <c r="F48" s="89">
        <f>D48+E48</f>
        <v>0.43890911999999999</v>
      </c>
      <c r="G48" s="40"/>
    </row>
    <row r="49" spans="1:7">
      <c r="A49" s="32"/>
      <c r="B49" s="42" t="s">
        <v>70</v>
      </c>
      <c r="C49" s="43" t="s">
        <v>7</v>
      </c>
      <c r="D49" s="89">
        <f>D52+D55+D58+D61+D64+D67+D73+D76+D79+D82+D85+D88+D91+D94+D97+D100+D103+D106+D109+D112+D115+D118+D121+D124+D127</f>
        <v>1.3375016000000002</v>
      </c>
      <c r="E49" s="89">
        <f>E52+E55+E58+E61+E64+E67+E73+E76+E79+E82+E85+E88+E91+E94+E97+E100+E103+E106+E109+E112+E115+E118+E121+E124+E127</f>
        <v>4.9356988000000026</v>
      </c>
      <c r="F49" s="89">
        <f>D49+E49</f>
        <v>6.273200400000003</v>
      </c>
      <c r="G49" s="40"/>
    </row>
    <row r="50" spans="1:7">
      <c r="A50" s="32"/>
      <c r="B50" s="42" t="s">
        <v>123</v>
      </c>
      <c r="C50" s="43"/>
      <c r="D50" s="90"/>
      <c r="E50" s="90"/>
      <c r="F50" s="90"/>
      <c r="G50" s="40"/>
    </row>
    <row r="51" spans="1:7">
      <c r="A51" s="32"/>
      <c r="B51" s="38" t="s">
        <v>20</v>
      </c>
      <c r="C51" s="32" t="s">
        <v>7</v>
      </c>
      <c r="D51" s="85"/>
      <c r="E51" s="84">
        <f>5.03*2*0.888/1000*46</f>
        <v>0.41093088</v>
      </c>
      <c r="F51" s="90"/>
      <c r="G51" s="40"/>
    </row>
    <row r="52" spans="1:7">
      <c r="A52" s="32"/>
      <c r="B52" s="38" t="s">
        <v>19</v>
      </c>
      <c r="C52" s="32" t="s">
        <v>7</v>
      </c>
      <c r="D52" s="85"/>
      <c r="E52" s="84">
        <f>0.12*19*0.395/1000*46</f>
        <v>4.1427600000000002E-2</v>
      </c>
      <c r="F52" s="90"/>
      <c r="G52" s="40"/>
    </row>
    <row r="53" spans="1:7">
      <c r="A53" s="32"/>
      <c r="B53" s="42" t="s">
        <v>152</v>
      </c>
      <c r="C53" s="43"/>
      <c r="D53" s="90"/>
      <c r="E53" s="90"/>
      <c r="F53" s="90"/>
      <c r="G53" s="40"/>
    </row>
    <row r="54" spans="1:7">
      <c r="A54" s="32"/>
      <c r="B54" s="38" t="s">
        <v>20</v>
      </c>
      <c r="C54" s="32" t="s">
        <v>7</v>
      </c>
      <c r="D54" s="84">
        <f>3.87*2*0.888/1000*84</f>
        <v>0.57734207999999998</v>
      </c>
      <c r="E54" s="84">
        <f>3.87*2*0.888/1000*706</f>
        <v>4.8524227199999999</v>
      </c>
      <c r="F54" s="90"/>
      <c r="G54" s="40"/>
    </row>
    <row r="55" spans="1:7">
      <c r="A55" s="32"/>
      <c r="B55" s="38" t="s">
        <v>19</v>
      </c>
      <c r="C55" s="32" t="s">
        <v>7</v>
      </c>
      <c r="D55" s="84">
        <f>0.16*19*0.395/1000*84</f>
        <v>0.10086720000000002</v>
      </c>
      <c r="E55" s="84">
        <f>0.16*19*0.395/1000*706</f>
        <v>0.8477648000000001</v>
      </c>
      <c r="F55" s="90"/>
      <c r="G55" s="40"/>
    </row>
    <row r="56" spans="1:7">
      <c r="A56" s="32"/>
      <c r="B56" s="42" t="s">
        <v>126</v>
      </c>
      <c r="C56" s="43"/>
      <c r="D56" s="90"/>
      <c r="E56" s="90"/>
      <c r="F56" s="90"/>
      <c r="G56" s="40"/>
    </row>
    <row r="57" spans="1:7">
      <c r="A57" s="32"/>
      <c r="B57" s="38" t="s">
        <v>20</v>
      </c>
      <c r="C57" s="32" t="s">
        <v>7</v>
      </c>
      <c r="D57" s="84">
        <f>5.03*2*0.888/1000*871</f>
        <v>7.7808868799999997</v>
      </c>
      <c r="E57" s="84">
        <f>5.03*2*0.888/1000*1985</f>
        <v>17.732560800000002</v>
      </c>
      <c r="F57" s="90"/>
      <c r="G57" s="40"/>
    </row>
    <row r="58" spans="1:7">
      <c r="A58" s="32"/>
      <c r="B58" s="38" t="s">
        <v>19</v>
      </c>
      <c r="C58" s="32" t="s">
        <v>7</v>
      </c>
      <c r="D58" s="84">
        <f>0.16*19*0.395/1000*871</f>
        <v>1.0458968000000002</v>
      </c>
      <c r="E58" s="84">
        <f>0.16*19*0.395/1000*1985</f>
        <v>2.383588</v>
      </c>
      <c r="F58" s="90"/>
      <c r="G58" s="40"/>
    </row>
    <row r="59" spans="1:7">
      <c r="A59" s="32"/>
      <c r="B59" s="42" t="s">
        <v>153</v>
      </c>
      <c r="C59" s="43"/>
      <c r="D59" s="90"/>
      <c r="E59" s="90"/>
      <c r="F59" s="90"/>
      <c r="G59" s="40"/>
    </row>
    <row r="60" spans="1:7">
      <c r="A60" s="32"/>
      <c r="B60" s="86" t="s">
        <v>17</v>
      </c>
      <c r="C60" s="32" t="s">
        <v>7</v>
      </c>
      <c r="D60" s="85"/>
      <c r="E60" s="84">
        <f>3.87*2*1.578/1000*138</f>
        <v>1.6854933600000002</v>
      </c>
      <c r="F60" s="90"/>
      <c r="G60" s="40"/>
    </row>
    <row r="61" spans="1:7">
      <c r="A61" s="32"/>
      <c r="B61" s="86" t="s">
        <v>19</v>
      </c>
      <c r="C61" s="32" t="s">
        <v>7</v>
      </c>
      <c r="D61" s="85"/>
      <c r="E61" s="84">
        <f>0.16*19*0.395/1000*138</f>
        <v>0.16571040000000001</v>
      </c>
      <c r="F61" s="90"/>
      <c r="G61" s="40"/>
    </row>
    <row r="62" spans="1:7">
      <c r="A62" s="32"/>
      <c r="B62" s="42" t="s">
        <v>128</v>
      </c>
      <c r="C62" s="43"/>
      <c r="D62" s="90"/>
      <c r="E62" s="90"/>
      <c r="F62" s="90"/>
      <c r="G62" s="40"/>
    </row>
    <row r="63" spans="1:7">
      <c r="A63" s="32"/>
      <c r="B63" s="86" t="s">
        <v>17</v>
      </c>
      <c r="C63" s="32" t="s">
        <v>7</v>
      </c>
      <c r="D63" s="84">
        <f>5.33*2*1.578/1000*12</f>
        <v>0.20185776</v>
      </c>
      <c r="E63" s="84">
        <f>5.33*2*1.578/1000*781</f>
        <v>13.13757588</v>
      </c>
      <c r="F63" s="90"/>
      <c r="G63" s="40"/>
    </row>
    <row r="64" spans="1:7">
      <c r="A64" s="32"/>
      <c r="B64" s="86" t="s">
        <v>19</v>
      </c>
      <c r="C64" s="32" t="s">
        <v>7</v>
      </c>
      <c r="D64" s="84">
        <f>0.16*19*0.395/1000*12</f>
        <v>1.4409600000000002E-2</v>
      </c>
      <c r="E64" s="84">
        <f>0.16*19*0.395/1000*781</f>
        <v>0.93782480000000012</v>
      </c>
      <c r="F64" s="90"/>
      <c r="G64" s="40"/>
    </row>
    <row r="65" spans="1:7">
      <c r="A65" s="32"/>
      <c r="B65" s="42" t="s">
        <v>154</v>
      </c>
      <c r="C65" s="43"/>
      <c r="D65" s="90"/>
      <c r="E65" s="90"/>
      <c r="F65" s="90"/>
      <c r="G65" s="40"/>
    </row>
    <row r="66" spans="1:7">
      <c r="A66" s="32"/>
      <c r="B66" s="86" t="s">
        <v>17</v>
      </c>
      <c r="C66" s="32" t="s">
        <v>7</v>
      </c>
      <c r="D66" s="85"/>
      <c r="E66" s="84">
        <f>4.7*2*1.578/1000*29</f>
        <v>0.43016280000000001</v>
      </c>
      <c r="F66" s="90"/>
      <c r="G66" s="40"/>
    </row>
    <row r="67" spans="1:7">
      <c r="A67" s="32"/>
      <c r="B67" s="86" t="s">
        <v>19</v>
      </c>
      <c r="C67" s="32" t="s">
        <v>7</v>
      </c>
      <c r="D67" s="85"/>
      <c r="E67" s="84">
        <f>0.16*24*0.395/1000*29</f>
        <v>4.3987199999999997E-2</v>
      </c>
      <c r="F67" s="90"/>
      <c r="G67" s="40"/>
    </row>
    <row r="68" spans="1:7">
      <c r="A68" s="32"/>
      <c r="B68" s="42" t="s">
        <v>130</v>
      </c>
      <c r="C68" s="43"/>
      <c r="D68" s="90"/>
      <c r="E68" s="90"/>
      <c r="F68" s="90"/>
      <c r="G68" s="40"/>
    </row>
    <row r="69" spans="1:7">
      <c r="A69" s="32"/>
      <c r="B69" s="86" t="s">
        <v>17</v>
      </c>
      <c r="C69" s="32" t="s">
        <v>7</v>
      </c>
      <c r="D69" s="84">
        <f>5.3*2*1.578/1000*64</f>
        <v>1.0705152</v>
      </c>
      <c r="E69" s="84">
        <f>5.3*2*1.578/1000*40</f>
        <v>0.669072</v>
      </c>
      <c r="F69" s="90"/>
      <c r="G69" s="40"/>
    </row>
    <row r="70" spans="1:7">
      <c r="A70" s="32"/>
      <c r="B70" s="97" t="s">
        <v>18</v>
      </c>
      <c r="C70" s="32" t="s">
        <v>7</v>
      </c>
      <c r="D70" s="84">
        <f>0.36*19*0.617/1000*64</f>
        <v>0.27009791999999999</v>
      </c>
      <c r="E70" s="84">
        <f>0.36*19*0.617/1000*40</f>
        <v>0.16881119999999999</v>
      </c>
      <c r="F70" s="90"/>
      <c r="G70" s="40"/>
    </row>
    <row r="71" spans="1:7">
      <c r="A71" s="32"/>
      <c r="B71" s="42" t="s">
        <v>131</v>
      </c>
      <c r="C71" s="43"/>
      <c r="D71" s="90"/>
      <c r="E71" s="90"/>
      <c r="F71" s="90"/>
      <c r="G71" s="40"/>
    </row>
    <row r="72" spans="1:7">
      <c r="A72" s="32"/>
      <c r="B72" s="38" t="s">
        <v>20</v>
      </c>
      <c r="C72" s="32" t="s">
        <v>7</v>
      </c>
      <c r="D72" s="85"/>
      <c r="E72" s="84">
        <f>1.72*2*0.888/1000*8</f>
        <v>2.4437759999999999E-2</v>
      </c>
      <c r="F72" s="90"/>
      <c r="G72" s="40"/>
    </row>
    <row r="73" spans="1:7">
      <c r="A73" s="32"/>
      <c r="B73" s="38" t="s">
        <v>19</v>
      </c>
      <c r="C73" s="32" t="s">
        <v>7</v>
      </c>
      <c r="D73" s="85"/>
      <c r="E73" s="84">
        <f>0.12*8*0.395/1000*8</f>
        <v>3.0336E-3</v>
      </c>
      <c r="F73" s="90"/>
      <c r="G73" s="40"/>
    </row>
    <row r="74" spans="1:7">
      <c r="A74" s="32"/>
      <c r="B74" s="42" t="s">
        <v>132</v>
      </c>
      <c r="C74" s="43"/>
      <c r="D74" s="90"/>
      <c r="E74" s="90"/>
      <c r="F74" s="90"/>
      <c r="G74" s="40"/>
    </row>
    <row r="75" spans="1:7">
      <c r="A75" s="32"/>
      <c r="B75" s="38" t="s">
        <v>20</v>
      </c>
      <c r="C75" s="32" t="s">
        <v>7</v>
      </c>
      <c r="D75" s="84">
        <f>1.48*2*0.888/1000*355</f>
        <v>0.93311040000000012</v>
      </c>
      <c r="E75" s="84">
        <f>1.48*2*0.888/1000*575</f>
        <v>1.5113760000000003</v>
      </c>
      <c r="F75" s="90"/>
      <c r="G75" s="40"/>
    </row>
    <row r="76" spans="1:7">
      <c r="A76" s="32"/>
      <c r="B76" s="38" t="s">
        <v>19</v>
      </c>
      <c r="C76" s="32" t="s">
        <v>7</v>
      </c>
      <c r="D76" s="84">
        <f>0.16*2*0.395/1000*355</f>
        <v>4.4872000000000002E-2</v>
      </c>
      <c r="E76" s="84">
        <f>0.16*2*0.395/1000*575</f>
        <v>7.2680000000000008E-2</v>
      </c>
      <c r="F76" s="90"/>
      <c r="G76" s="40"/>
    </row>
    <row r="77" spans="1:7">
      <c r="A77" s="32"/>
      <c r="B77" s="42" t="s">
        <v>155</v>
      </c>
      <c r="C77" s="43"/>
      <c r="D77" s="90"/>
      <c r="E77" s="90"/>
      <c r="F77" s="90"/>
      <c r="G77" s="40"/>
    </row>
    <row r="78" spans="1:7">
      <c r="A78" s="32"/>
      <c r="B78" s="38" t="s">
        <v>20</v>
      </c>
      <c r="C78" s="32" t="s">
        <v>7</v>
      </c>
      <c r="D78" s="85"/>
      <c r="E78" s="84">
        <f>1.64*2*0.888/1000*9</f>
        <v>2.6213759999999999E-2</v>
      </c>
      <c r="F78" s="90"/>
      <c r="G78" s="40"/>
    </row>
    <row r="79" spans="1:7">
      <c r="A79" s="32"/>
      <c r="B79" s="38" t="s">
        <v>19</v>
      </c>
      <c r="C79" s="32" t="s">
        <v>7</v>
      </c>
      <c r="D79" s="85"/>
      <c r="E79" s="84">
        <f>0.16*3*0.395/1000*9</f>
        <v>1.7064000000000001E-3</v>
      </c>
      <c r="F79" s="90"/>
      <c r="G79" s="40"/>
    </row>
    <row r="80" spans="1:7">
      <c r="A80" s="32"/>
      <c r="B80" s="42" t="s">
        <v>156</v>
      </c>
      <c r="C80" s="43"/>
      <c r="D80" s="90"/>
      <c r="E80" s="90"/>
      <c r="F80" s="90"/>
      <c r="G80" s="40"/>
    </row>
    <row r="81" spans="1:7">
      <c r="A81" s="32"/>
      <c r="B81" s="38" t="s">
        <v>20</v>
      </c>
      <c r="C81" s="32" t="s">
        <v>7</v>
      </c>
      <c r="D81" s="85"/>
      <c r="E81" s="84">
        <f>1.95*2*0.888/1000*8</f>
        <v>2.77056E-2</v>
      </c>
      <c r="F81" s="90"/>
      <c r="G81" s="40"/>
    </row>
    <row r="82" spans="1:7">
      <c r="A82" s="32"/>
      <c r="B82" s="38" t="s">
        <v>19</v>
      </c>
      <c r="C82" s="32" t="s">
        <v>7</v>
      </c>
      <c r="D82" s="85"/>
      <c r="E82" s="84">
        <f>0.16*5*0.395/1000*8</f>
        <v>2.5280000000000003E-3</v>
      </c>
      <c r="F82" s="90"/>
      <c r="G82" s="40"/>
    </row>
    <row r="83" spans="1:7">
      <c r="A83" s="32"/>
      <c r="B83" s="98" t="s">
        <v>133</v>
      </c>
      <c r="C83" s="99"/>
      <c r="D83" s="100"/>
      <c r="E83" s="100"/>
      <c r="F83" s="90"/>
      <c r="G83" s="40"/>
    </row>
    <row r="84" spans="1:7">
      <c r="A84" s="32"/>
      <c r="B84" s="101" t="s">
        <v>20</v>
      </c>
      <c r="C84" s="102" t="s">
        <v>7</v>
      </c>
      <c r="D84" s="103">
        <f>1.48*2*0.888/1000*30</f>
        <v>7.8854400000000005E-2</v>
      </c>
      <c r="E84" s="103">
        <f>1.48*2*0.888/1000*107</f>
        <v>0.28124736000000006</v>
      </c>
      <c r="F84" s="90"/>
      <c r="G84" s="40"/>
    </row>
    <row r="85" spans="1:7">
      <c r="A85" s="32"/>
      <c r="B85" s="101" t="s">
        <v>19</v>
      </c>
      <c r="C85" s="102" t="s">
        <v>7</v>
      </c>
      <c r="D85" s="103">
        <f>0.16*2*0.395/1000*30</f>
        <v>3.7920000000000002E-3</v>
      </c>
      <c r="E85" s="103">
        <f>0.16*2*0.395/1000*107</f>
        <v>1.3524800000000002E-2</v>
      </c>
      <c r="F85" s="90"/>
      <c r="G85" s="40"/>
    </row>
    <row r="86" spans="1:7">
      <c r="A86" s="32"/>
      <c r="B86" s="42" t="s">
        <v>134</v>
      </c>
      <c r="C86" s="43"/>
      <c r="D86" s="90"/>
      <c r="E86" s="90"/>
      <c r="F86" s="90"/>
      <c r="G86" s="40"/>
    </row>
    <row r="87" spans="1:7">
      <c r="A87" s="32"/>
      <c r="B87" s="38" t="s">
        <v>20</v>
      </c>
      <c r="C87" s="32" t="s">
        <v>7</v>
      </c>
      <c r="D87" s="85"/>
      <c r="E87" s="84">
        <f>2.3*2*0.888/1000*115</f>
        <v>0.46975199999999995</v>
      </c>
      <c r="F87" s="90"/>
      <c r="G87" s="40"/>
    </row>
    <row r="88" spans="1:7">
      <c r="A88" s="32"/>
      <c r="B88" s="38" t="s">
        <v>19</v>
      </c>
      <c r="C88" s="32" t="s">
        <v>7</v>
      </c>
      <c r="D88" s="85"/>
      <c r="E88" s="84">
        <f>0.16*5*0.395/1000*115</f>
        <v>3.6340000000000004E-2</v>
      </c>
      <c r="F88" s="90"/>
      <c r="G88" s="40"/>
    </row>
    <row r="89" spans="1:7">
      <c r="A89" s="32"/>
      <c r="B89" s="42" t="s">
        <v>157</v>
      </c>
      <c r="C89" s="43"/>
      <c r="D89" s="90"/>
      <c r="E89" s="90"/>
      <c r="F89" s="90"/>
      <c r="G89" s="40"/>
    </row>
    <row r="90" spans="1:7">
      <c r="A90" s="32"/>
      <c r="B90" s="38" t="s">
        <v>20</v>
      </c>
      <c r="C90" s="32" t="s">
        <v>7</v>
      </c>
      <c r="D90" s="85"/>
      <c r="E90" s="84">
        <f>1.48*2*0.888/1000*14</f>
        <v>3.6798720000000007E-2</v>
      </c>
      <c r="F90" s="90"/>
      <c r="G90" s="40"/>
    </row>
    <row r="91" spans="1:7">
      <c r="A91" s="32"/>
      <c r="B91" s="38" t="s">
        <v>19</v>
      </c>
      <c r="C91" s="32" t="s">
        <v>7</v>
      </c>
      <c r="D91" s="85"/>
      <c r="E91" s="84">
        <f>0.16*7*0.395/1000*14</f>
        <v>6.1936000000000014E-3</v>
      </c>
      <c r="F91" s="90"/>
      <c r="G91" s="40"/>
    </row>
    <row r="92" spans="1:7">
      <c r="A92" s="32"/>
      <c r="B92" s="42" t="s">
        <v>139</v>
      </c>
      <c r="C92" s="43"/>
      <c r="D92" s="90"/>
      <c r="E92" s="90"/>
      <c r="F92" s="90"/>
      <c r="G92" s="40"/>
    </row>
    <row r="93" spans="1:7">
      <c r="A93" s="32"/>
      <c r="B93" s="38" t="s">
        <v>20</v>
      </c>
      <c r="C93" s="32" t="s">
        <v>7</v>
      </c>
      <c r="D93" s="84">
        <f>1.66*2*0.888/1000*7</f>
        <v>2.0637120000000002E-2</v>
      </c>
      <c r="E93" s="84">
        <f>1.66*2*0.888/1000*106</f>
        <v>0.31250496</v>
      </c>
      <c r="F93" s="90"/>
      <c r="G93" s="40"/>
    </row>
    <row r="94" spans="1:7">
      <c r="A94" s="32"/>
      <c r="B94" s="38" t="s">
        <v>19</v>
      </c>
      <c r="C94" s="32" t="s">
        <v>7</v>
      </c>
      <c r="D94" s="84">
        <f>0.16*8*0.395/1000*7</f>
        <v>3.5392000000000002E-3</v>
      </c>
      <c r="E94" s="84">
        <f>0.16*8*0.395/1000*106</f>
        <v>5.3593600000000005E-2</v>
      </c>
      <c r="F94" s="90"/>
      <c r="G94" s="40"/>
    </row>
    <row r="95" spans="1:7">
      <c r="A95" s="32"/>
      <c r="B95" s="42" t="s">
        <v>140</v>
      </c>
      <c r="C95" s="43"/>
      <c r="D95" s="90"/>
      <c r="E95" s="90"/>
      <c r="F95" s="90"/>
      <c r="G95" s="40"/>
    </row>
    <row r="96" spans="1:7">
      <c r="A96" s="32"/>
      <c r="B96" s="38" t="s">
        <v>20</v>
      </c>
      <c r="C96" s="32" t="s">
        <v>7</v>
      </c>
      <c r="D96" s="85"/>
      <c r="E96" s="84">
        <f>2.7*2*0.888/1000*16</f>
        <v>7.6723200000000005E-2</v>
      </c>
      <c r="F96" s="90"/>
      <c r="G96" s="40"/>
    </row>
    <row r="97" spans="1:7">
      <c r="A97" s="32"/>
      <c r="B97" s="38" t="s">
        <v>19</v>
      </c>
      <c r="C97" s="32" t="s">
        <v>7</v>
      </c>
      <c r="D97" s="85"/>
      <c r="E97" s="84">
        <f>0.16*8*0.395/1000*16</f>
        <v>8.0896000000000006E-3</v>
      </c>
      <c r="F97" s="90"/>
      <c r="G97" s="40"/>
    </row>
    <row r="98" spans="1:7">
      <c r="A98" s="32"/>
      <c r="B98" s="42" t="s">
        <v>158</v>
      </c>
      <c r="C98" s="43"/>
      <c r="D98" s="90"/>
      <c r="E98" s="90"/>
      <c r="F98" s="90"/>
      <c r="G98" s="40"/>
    </row>
    <row r="99" spans="1:7">
      <c r="A99" s="32"/>
      <c r="B99" s="38" t="s">
        <v>20</v>
      </c>
      <c r="C99" s="32" t="s">
        <v>7</v>
      </c>
      <c r="D99" s="85"/>
      <c r="E99" s="84">
        <f>1.73*2*0.888/1000*58</f>
        <v>0.17820384</v>
      </c>
      <c r="F99" s="90"/>
      <c r="G99" s="40"/>
    </row>
    <row r="100" spans="1:7">
      <c r="A100" s="32"/>
      <c r="B100" s="38" t="s">
        <v>19</v>
      </c>
      <c r="C100" s="32" t="s">
        <v>7</v>
      </c>
      <c r="D100" s="85"/>
      <c r="E100" s="84">
        <f>0.16*8*0.395/1000*58</f>
        <v>2.9324800000000002E-2</v>
      </c>
      <c r="F100" s="90"/>
      <c r="G100" s="40"/>
    </row>
    <row r="101" spans="1:7">
      <c r="A101" s="32"/>
      <c r="B101" s="42" t="s">
        <v>159</v>
      </c>
      <c r="C101" s="43"/>
      <c r="D101" s="90"/>
      <c r="E101" s="90"/>
      <c r="F101" s="90"/>
      <c r="G101" s="40"/>
    </row>
    <row r="102" spans="1:7">
      <c r="A102" s="32"/>
      <c r="B102" s="38" t="s">
        <v>20</v>
      </c>
      <c r="C102" s="32" t="s">
        <v>7</v>
      </c>
      <c r="D102" s="85"/>
      <c r="E102" s="84">
        <f>2.8*2*0.888/1000*6</f>
        <v>2.9836799999999997E-2</v>
      </c>
      <c r="F102" s="90"/>
      <c r="G102" s="40"/>
    </row>
    <row r="103" spans="1:7">
      <c r="A103" s="32"/>
      <c r="B103" s="38" t="s">
        <v>19</v>
      </c>
      <c r="C103" s="32" t="s">
        <v>7</v>
      </c>
      <c r="D103" s="85"/>
      <c r="E103" s="84">
        <f>0.16*8*0.395/1000*6</f>
        <v>3.0336E-3</v>
      </c>
      <c r="F103" s="90"/>
      <c r="G103" s="40"/>
    </row>
    <row r="104" spans="1:7">
      <c r="A104" s="32"/>
      <c r="B104" s="42" t="s">
        <v>160</v>
      </c>
      <c r="C104" s="43"/>
      <c r="D104" s="90"/>
      <c r="E104" s="90"/>
      <c r="F104" s="90"/>
      <c r="G104" s="40"/>
    </row>
    <row r="105" spans="1:7">
      <c r="A105" s="32"/>
      <c r="B105" s="38" t="s">
        <v>20</v>
      </c>
      <c r="C105" s="32" t="s">
        <v>7</v>
      </c>
      <c r="D105" s="85"/>
      <c r="E105" s="84">
        <f>0.54*2*0.888/1000*10</f>
        <v>9.5904000000000007E-3</v>
      </c>
      <c r="F105" s="90"/>
      <c r="G105" s="40"/>
    </row>
    <row r="106" spans="1:7">
      <c r="A106" s="32"/>
      <c r="B106" s="38" t="s">
        <v>19</v>
      </c>
      <c r="C106" s="32" t="s">
        <v>7</v>
      </c>
      <c r="D106" s="85"/>
      <c r="E106" s="84">
        <f>0.16*3*0.395/1000*10</f>
        <v>1.8960000000000001E-3</v>
      </c>
      <c r="F106" s="90"/>
      <c r="G106" s="40"/>
    </row>
    <row r="107" spans="1:7">
      <c r="A107" s="32"/>
      <c r="B107" s="42" t="s">
        <v>161</v>
      </c>
      <c r="C107" s="43"/>
      <c r="D107" s="90"/>
      <c r="E107" s="90"/>
      <c r="F107" s="90"/>
      <c r="G107" s="40"/>
    </row>
    <row r="108" spans="1:7">
      <c r="A108" s="32"/>
      <c r="B108" s="38" t="s">
        <v>20</v>
      </c>
      <c r="C108" s="32" t="s">
        <v>7</v>
      </c>
      <c r="D108" s="85"/>
      <c r="E108" s="84">
        <f>0.75*2*0.888/1000*58</f>
        <v>7.7256000000000005E-2</v>
      </c>
      <c r="F108" s="90"/>
      <c r="G108" s="40"/>
    </row>
    <row r="109" spans="1:7">
      <c r="A109" s="32"/>
      <c r="B109" s="38" t="s">
        <v>19</v>
      </c>
      <c r="C109" s="32" t="s">
        <v>7</v>
      </c>
      <c r="D109" s="85"/>
      <c r="E109" s="84">
        <f>0.16*4*0.395/1000*58</f>
        <v>1.4662400000000001E-2</v>
      </c>
      <c r="F109" s="90"/>
      <c r="G109" s="40"/>
    </row>
    <row r="110" spans="1:7">
      <c r="A110" s="32"/>
      <c r="B110" s="42" t="s">
        <v>162</v>
      </c>
      <c r="C110" s="43"/>
      <c r="D110" s="90"/>
      <c r="E110" s="90"/>
      <c r="F110" s="90"/>
      <c r="G110" s="40"/>
    </row>
    <row r="111" spans="1:7">
      <c r="A111" s="32"/>
      <c r="B111" s="38" t="s">
        <v>20</v>
      </c>
      <c r="C111" s="32" t="s">
        <v>7</v>
      </c>
      <c r="D111" s="84">
        <f>0.98*2*0.888/1000*328</f>
        <v>0.57087743999999996</v>
      </c>
      <c r="E111" s="84">
        <f>0.98*2*0.888/1000*738</f>
        <v>1.28447424</v>
      </c>
      <c r="F111" s="90"/>
      <c r="G111" s="40"/>
    </row>
    <row r="112" spans="1:7">
      <c r="A112" s="32"/>
      <c r="B112" s="38" t="s">
        <v>19</v>
      </c>
      <c r="C112" s="32" t="s">
        <v>7</v>
      </c>
      <c r="D112" s="84">
        <f>0.16*5*0.395/1000*328</f>
        <v>0.10364800000000002</v>
      </c>
      <c r="E112" s="84">
        <f>0.16*5*0.395/1000*738</f>
        <v>0.23320800000000003</v>
      </c>
      <c r="F112" s="90"/>
      <c r="G112" s="40"/>
    </row>
    <row r="113" spans="1:7">
      <c r="A113" s="32"/>
      <c r="B113" s="42" t="s">
        <v>163</v>
      </c>
      <c r="C113" s="43"/>
      <c r="D113" s="90"/>
      <c r="E113" s="90"/>
      <c r="F113" s="90"/>
      <c r="G113" s="40"/>
    </row>
    <row r="114" spans="1:7">
      <c r="A114" s="32"/>
      <c r="B114" s="38" t="s">
        <v>20</v>
      </c>
      <c r="C114" s="32" t="s">
        <v>7</v>
      </c>
      <c r="D114" s="85"/>
      <c r="E114" s="84">
        <f>1.03*2*0.888/1000*17</f>
        <v>3.1097759999999999E-2</v>
      </c>
      <c r="F114" s="90"/>
      <c r="G114" s="40"/>
    </row>
    <row r="115" spans="1:7">
      <c r="A115" s="32"/>
      <c r="B115" s="38" t="s">
        <v>19</v>
      </c>
      <c r="C115" s="32" t="s">
        <v>7</v>
      </c>
      <c r="D115" s="85"/>
      <c r="E115" s="84">
        <f>0.16*5*0.395/1000*17</f>
        <v>5.3720000000000009E-3</v>
      </c>
      <c r="F115" s="90"/>
      <c r="G115" s="40"/>
    </row>
    <row r="116" spans="1:7">
      <c r="A116" s="32"/>
      <c r="B116" s="42" t="s">
        <v>164</v>
      </c>
      <c r="C116" s="43"/>
      <c r="D116" s="90"/>
      <c r="E116" s="85"/>
      <c r="F116" s="90"/>
      <c r="G116" s="40"/>
    </row>
    <row r="117" spans="1:7">
      <c r="A117" s="32"/>
      <c r="B117" s="38" t="s">
        <v>20</v>
      </c>
      <c r="C117" s="32" t="s">
        <v>7</v>
      </c>
      <c r="D117" s="84">
        <f>1.18*2*0.888/1000*54</f>
        <v>0.11316672</v>
      </c>
      <c r="E117" s="85"/>
      <c r="F117" s="90"/>
      <c r="G117" s="40"/>
    </row>
    <row r="118" spans="1:7">
      <c r="A118" s="32"/>
      <c r="B118" s="38" t="s">
        <v>19</v>
      </c>
      <c r="C118" s="32" t="s">
        <v>7</v>
      </c>
      <c r="D118" s="84">
        <f>0.16*6*0.395/1000*54</f>
        <v>2.04768E-2</v>
      </c>
      <c r="E118" s="85"/>
      <c r="F118" s="90"/>
      <c r="G118" s="40"/>
    </row>
    <row r="119" spans="1:7">
      <c r="A119" s="32"/>
      <c r="B119" s="42" t="s">
        <v>165</v>
      </c>
      <c r="C119" s="43"/>
      <c r="D119" s="90"/>
      <c r="E119" s="90"/>
      <c r="F119" s="90"/>
      <c r="G119" s="40"/>
    </row>
    <row r="120" spans="1:7">
      <c r="A120" s="32"/>
      <c r="B120" s="38" t="s">
        <v>20</v>
      </c>
      <c r="C120" s="32" t="s">
        <v>7</v>
      </c>
      <c r="D120" s="85"/>
      <c r="E120" s="84">
        <f>1.17*2*0.888/1000*8</f>
        <v>1.6623359999999997E-2</v>
      </c>
      <c r="F120" s="90"/>
      <c r="G120" s="40"/>
    </row>
    <row r="121" spans="1:7">
      <c r="A121" s="32"/>
      <c r="B121" s="38" t="s">
        <v>19</v>
      </c>
      <c r="C121" s="32" t="s">
        <v>7</v>
      </c>
      <c r="D121" s="85"/>
      <c r="E121" s="84">
        <f>0.16*6*0.395/1000*8</f>
        <v>3.0336E-3</v>
      </c>
      <c r="F121" s="90"/>
      <c r="G121" s="40"/>
    </row>
    <row r="122" spans="1:7">
      <c r="A122" s="32"/>
      <c r="B122" s="42" t="s">
        <v>166</v>
      </c>
      <c r="C122" s="43"/>
      <c r="D122" s="90"/>
      <c r="E122" s="90"/>
      <c r="F122" s="90"/>
      <c r="G122" s="40"/>
    </row>
    <row r="123" spans="1:7">
      <c r="A123" s="32"/>
      <c r="B123" s="38" t="s">
        <v>20</v>
      </c>
      <c r="C123" s="32" t="s">
        <v>7</v>
      </c>
      <c r="D123" s="85"/>
      <c r="E123" s="84">
        <f>1.18*2*0.888/1000*5</f>
        <v>1.0478399999999999E-2</v>
      </c>
      <c r="F123" s="90"/>
      <c r="G123" s="40"/>
    </row>
    <row r="124" spans="1:7">
      <c r="A124" s="32"/>
      <c r="B124" s="38" t="s">
        <v>19</v>
      </c>
      <c r="C124" s="32" t="s">
        <v>7</v>
      </c>
      <c r="D124" s="85"/>
      <c r="E124" s="84">
        <f>0.16*6*0.395/1000*5</f>
        <v>1.8960000000000001E-3</v>
      </c>
      <c r="F124" s="90"/>
      <c r="G124" s="40"/>
    </row>
    <row r="125" spans="1:7">
      <c r="A125" s="32"/>
      <c r="B125" s="42" t="s">
        <v>167</v>
      </c>
      <c r="C125" s="43"/>
      <c r="D125" s="90"/>
      <c r="E125" s="90"/>
      <c r="F125" s="90"/>
      <c r="G125" s="40"/>
    </row>
    <row r="126" spans="1:7">
      <c r="A126" s="32"/>
      <c r="B126" s="38" t="s">
        <v>20</v>
      </c>
      <c r="C126" s="32" t="s">
        <v>7</v>
      </c>
      <c r="D126" s="85"/>
      <c r="E126" s="84">
        <f>3.28*2*0.888/1000*25</f>
        <v>0.14563199999999998</v>
      </c>
      <c r="F126" s="90"/>
      <c r="G126" s="40"/>
    </row>
    <row r="127" spans="1:7">
      <c r="A127" s="32"/>
      <c r="B127" s="38" t="s">
        <v>19</v>
      </c>
      <c r="C127" s="32" t="s">
        <v>7</v>
      </c>
      <c r="D127" s="85"/>
      <c r="E127" s="84">
        <f>0.16*16*0.395/1000*25</f>
        <v>2.528E-2</v>
      </c>
      <c r="F127" s="90"/>
      <c r="G127" s="40"/>
    </row>
    <row r="128" spans="1:7">
      <c r="A128" s="33">
        <v>4</v>
      </c>
      <c r="B128" s="88" t="s">
        <v>103</v>
      </c>
      <c r="C128" s="32"/>
      <c r="D128" s="85"/>
      <c r="E128" s="85"/>
      <c r="F128" s="90"/>
      <c r="G128" s="40"/>
    </row>
    <row r="129" spans="1:7">
      <c r="A129" s="32"/>
      <c r="B129" s="38" t="s">
        <v>102</v>
      </c>
      <c r="C129" s="32" t="s">
        <v>0</v>
      </c>
      <c r="D129" s="90"/>
      <c r="E129" s="84">
        <v>0.8</v>
      </c>
      <c r="F129" s="89">
        <f>D129+E129</f>
        <v>0.8</v>
      </c>
      <c r="G129" s="40"/>
    </row>
    <row r="130" spans="1:7">
      <c r="A130" s="32"/>
      <c r="B130" s="5" t="s">
        <v>46</v>
      </c>
      <c r="C130" s="32" t="s">
        <v>0</v>
      </c>
      <c r="D130" s="39"/>
      <c r="E130" s="84">
        <v>2</v>
      </c>
      <c r="F130" s="89">
        <f>D130+E130</f>
        <v>2</v>
      </c>
      <c r="G130" s="34"/>
    </row>
    <row r="132" spans="1:7">
      <c r="A132" s="203" t="s">
        <v>143</v>
      </c>
      <c r="B132" s="203"/>
      <c r="C132" s="203"/>
      <c r="D132" s="203"/>
      <c r="E132" s="203"/>
      <c r="F132" s="203"/>
      <c r="G132" s="203"/>
    </row>
    <row r="133" spans="1:7">
      <c r="G133" s="48">
        <v>46269</v>
      </c>
    </row>
    <row r="143" spans="1:7" ht="27" customHeight="1"/>
  </sheetData>
  <mergeCells count="12">
    <mergeCell ref="G5:G6"/>
    <mergeCell ref="A132:G132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3013-E503-4CBC-845D-76F98C1946F2}">
  <sheetPr>
    <tabColor rgb="FF92D050"/>
  </sheetPr>
  <dimension ref="A1:H23"/>
  <sheetViews>
    <sheetView topLeftCell="A16" zoomScaleNormal="100" workbookViewId="0">
      <selection activeCell="D10" sqref="D10:E16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5" width="9.42578125" style="28" bestFit="1" customWidth="1"/>
    <col min="6" max="6" width="13.5703125" style="37" customWidth="1"/>
    <col min="7" max="7" width="17.5703125" style="47" customWidth="1"/>
    <col min="8" max="8" width="13.140625" style="28" bestFit="1" customWidth="1"/>
    <col min="9" max="16384" width="9.140625" style="28"/>
  </cols>
  <sheetData>
    <row r="1" spans="1:8" ht="15.7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7.5" customHeight="1">
      <c r="A2" s="198" t="s">
        <v>47</v>
      </c>
      <c r="B2" s="198"/>
      <c r="C2" s="198"/>
      <c r="D2" s="198"/>
      <c r="E2" s="198"/>
      <c r="F2" s="198"/>
      <c r="G2" s="198"/>
    </row>
    <row r="3" spans="1:8" ht="15" customHeight="1">
      <c r="A3" s="199" t="s">
        <v>48</v>
      </c>
      <c r="B3" s="199"/>
      <c r="C3" s="199"/>
      <c r="D3" s="199"/>
      <c r="E3" s="199"/>
      <c r="F3" s="199"/>
      <c r="G3" s="199"/>
    </row>
    <row r="4" spans="1:8" ht="19.5" customHeight="1">
      <c r="A4" s="205" t="s">
        <v>115</v>
      </c>
      <c r="B4" s="205"/>
      <c r="C4" s="2"/>
      <c r="D4" s="2"/>
      <c r="E4" s="2"/>
      <c r="F4" s="2"/>
      <c r="G4" s="2"/>
    </row>
    <row r="5" spans="1:8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8" s="29" customFormat="1" ht="15.75" customHeight="1">
      <c r="A6" s="202"/>
      <c r="B6" s="202"/>
      <c r="C6" s="202"/>
      <c r="D6" s="202"/>
      <c r="E6" s="202"/>
      <c r="F6" s="202"/>
      <c r="G6" s="204"/>
    </row>
    <row r="7" spans="1:8" ht="15.75">
      <c r="A7" s="30">
        <v>1</v>
      </c>
      <c r="B7" s="31" t="s">
        <v>171</v>
      </c>
      <c r="C7" s="32"/>
      <c r="D7" s="32"/>
      <c r="E7" s="32"/>
      <c r="F7" s="33"/>
      <c r="G7" s="34"/>
    </row>
    <row r="8" spans="1:8" s="37" customFormat="1" ht="16.5" customHeight="1">
      <c r="A8" s="33"/>
      <c r="B8" s="35" t="s">
        <v>24</v>
      </c>
      <c r="C8" s="33" t="s">
        <v>0</v>
      </c>
      <c r="D8" s="92">
        <v>204.6</v>
      </c>
      <c r="E8" s="92">
        <v>442.1</v>
      </c>
      <c r="F8" s="83">
        <f t="shared" ref="F8:F16" si="0">D8+E8</f>
        <v>646.70000000000005</v>
      </c>
      <c r="G8" s="206" t="s">
        <v>114</v>
      </c>
      <c r="H8" s="36">
        <f>SUM(F10:F16)</f>
        <v>74.377604899999994</v>
      </c>
    </row>
    <row r="9" spans="1:8" s="37" customFormat="1" ht="16.5" customHeight="1">
      <c r="A9" s="33"/>
      <c r="B9" s="35" t="s">
        <v>170</v>
      </c>
      <c r="C9" s="33" t="s">
        <v>0</v>
      </c>
      <c r="D9" s="92"/>
      <c r="E9" s="92">
        <v>27.7</v>
      </c>
      <c r="F9" s="83">
        <f t="shared" si="0"/>
        <v>27.7</v>
      </c>
      <c r="G9" s="207"/>
      <c r="H9" s="36"/>
    </row>
    <row r="10" spans="1:8" s="37" customFormat="1" ht="16.5" customHeight="1">
      <c r="A10" s="33"/>
      <c r="B10" s="38" t="s">
        <v>21</v>
      </c>
      <c r="C10" s="32" t="s">
        <v>7</v>
      </c>
      <c r="D10" s="104"/>
      <c r="E10" s="93">
        <f>251.2*0.222/1000</f>
        <v>5.5766400000000001E-2</v>
      </c>
      <c r="F10" s="84">
        <f t="shared" si="0"/>
        <v>5.5766400000000001E-2</v>
      </c>
      <c r="G10" s="207"/>
      <c r="H10" s="37">
        <f>H8/(F8+F9)</f>
        <v>0.11028707725385525</v>
      </c>
    </row>
    <row r="11" spans="1:8" s="37" customFormat="1" ht="16.5" customHeight="1">
      <c r="A11" s="33"/>
      <c r="B11" s="38" t="s">
        <v>19</v>
      </c>
      <c r="C11" s="32" t="s">
        <v>7</v>
      </c>
      <c r="D11" s="84">
        <f>(790.6+1.09*1530+10295)*0.395/1000</f>
        <v>5.0375534999999996</v>
      </c>
      <c r="E11" s="84">
        <f>(329.8+1795+1.21*3346+23019.7)*0.395/1000</f>
        <v>11.531298200000002</v>
      </c>
      <c r="F11" s="84">
        <f t="shared" si="0"/>
        <v>16.568851700000003</v>
      </c>
      <c r="G11" s="207"/>
    </row>
    <row r="12" spans="1:8" s="37" customFormat="1" ht="16.5" customHeight="1">
      <c r="A12" s="33"/>
      <c r="B12" s="38" t="s">
        <v>20</v>
      </c>
      <c r="C12" s="32" t="s">
        <v>7</v>
      </c>
      <c r="D12" s="84">
        <f>(434.7+12864.9)*0.888/1000</f>
        <v>11.8100448</v>
      </c>
      <c r="E12" s="84">
        <f>(2614.7+28929.1)*0.888/1000</f>
        <v>28.010894400000002</v>
      </c>
      <c r="F12" s="84">
        <f t="shared" si="0"/>
        <v>39.820939199999998</v>
      </c>
      <c r="G12" s="207"/>
    </row>
    <row r="13" spans="1:8" s="37" customFormat="1" ht="16.5" customHeight="1">
      <c r="A13" s="33"/>
      <c r="B13" s="38" t="s">
        <v>17</v>
      </c>
      <c r="C13" s="32" t="s">
        <v>7</v>
      </c>
      <c r="D13" s="84">
        <f>1590.9*1.578/1000</f>
        <v>2.5104402000000006</v>
      </c>
      <c r="E13" s="84">
        <f>6211.2*1.578/1000</f>
        <v>9.8012736</v>
      </c>
      <c r="F13" s="84">
        <f t="shared" si="0"/>
        <v>12.3117138</v>
      </c>
      <c r="G13" s="207"/>
    </row>
    <row r="14" spans="1:8" s="37" customFormat="1" ht="16.5" customHeight="1">
      <c r="A14" s="33"/>
      <c r="B14" s="38" t="s">
        <v>22</v>
      </c>
      <c r="C14" s="32" t="s">
        <v>7</v>
      </c>
      <c r="D14" s="39"/>
      <c r="E14" s="84">
        <f>151.9*2.466/1000</f>
        <v>0.37458540000000007</v>
      </c>
      <c r="F14" s="84">
        <f t="shared" si="0"/>
        <v>0.37458540000000007</v>
      </c>
      <c r="G14" s="207"/>
    </row>
    <row r="15" spans="1:8" s="37" customFormat="1" ht="16.5" customHeight="1">
      <c r="A15" s="33"/>
      <c r="B15" s="38" t="s">
        <v>26</v>
      </c>
      <c r="C15" s="32" t="s">
        <v>7</v>
      </c>
      <c r="D15" s="84">
        <f>604.7*3.85/1000</f>
        <v>2.3280950000000002</v>
      </c>
      <c r="E15" s="84">
        <f>475.2*3.85/1000</f>
        <v>1.82952</v>
      </c>
      <c r="F15" s="84">
        <f t="shared" si="0"/>
        <v>4.1576149999999998</v>
      </c>
      <c r="G15" s="207"/>
    </row>
    <row r="16" spans="1:8" s="37" customFormat="1" ht="16.5" customHeight="1">
      <c r="A16" s="33"/>
      <c r="B16" s="38" t="s">
        <v>25</v>
      </c>
      <c r="C16" s="32" t="s">
        <v>7</v>
      </c>
      <c r="D16" s="85"/>
      <c r="E16" s="84">
        <f>225.1*4.834/1000</f>
        <v>1.0881334</v>
      </c>
      <c r="F16" s="84">
        <f t="shared" si="0"/>
        <v>1.0881334</v>
      </c>
      <c r="G16" s="96"/>
    </row>
    <row r="17" spans="1:7" ht="15.75">
      <c r="A17" s="30">
        <v>2</v>
      </c>
      <c r="B17" s="31" t="s">
        <v>111</v>
      </c>
      <c r="C17" s="32"/>
      <c r="D17" s="32"/>
      <c r="E17" s="32"/>
      <c r="F17" s="32"/>
      <c r="G17" s="45"/>
    </row>
    <row r="18" spans="1:7">
      <c r="A18" s="32"/>
      <c r="B18" s="38" t="s">
        <v>112</v>
      </c>
      <c r="C18" s="32" t="s">
        <v>0</v>
      </c>
      <c r="D18" s="209">
        <v>1.3</v>
      </c>
      <c r="E18" s="210"/>
      <c r="F18" s="84">
        <f>D18+E18</f>
        <v>1.3</v>
      </c>
      <c r="G18" s="45"/>
    </row>
    <row r="19" spans="1:7">
      <c r="A19" s="32"/>
      <c r="B19" s="38" t="s">
        <v>102</v>
      </c>
      <c r="C19" s="32" t="s">
        <v>0</v>
      </c>
      <c r="D19" s="209">
        <v>0.8</v>
      </c>
      <c r="E19" s="210"/>
      <c r="F19" s="84">
        <f>D19+E19</f>
        <v>0.8</v>
      </c>
      <c r="G19" s="45"/>
    </row>
    <row r="22" spans="1:7" ht="27" customHeight="1">
      <c r="A22" s="203" t="s">
        <v>143</v>
      </c>
      <c r="B22" s="203"/>
      <c r="C22" s="203"/>
      <c r="D22" s="203"/>
      <c r="E22" s="203"/>
      <c r="F22" s="203"/>
      <c r="G22" s="203"/>
    </row>
    <row r="23" spans="1:7">
      <c r="G23" s="48">
        <v>46269</v>
      </c>
    </row>
  </sheetData>
  <mergeCells count="15">
    <mergeCell ref="G8:G15"/>
    <mergeCell ref="A22:G22"/>
    <mergeCell ref="D18:E18"/>
    <mergeCell ref="D19:E19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93EE-A2BB-4845-BEB6-4DBFB1914388}">
  <sheetPr>
    <tabColor rgb="FF92D050"/>
  </sheetPr>
  <dimension ref="A1:I110"/>
  <sheetViews>
    <sheetView topLeftCell="A61" zoomScaleNormal="100" workbookViewId="0">
      <selection activeCell="G11" sqref="G11"/>
    </sheetView>
  </sheetViews>
  <sheetFormatPr defaultRowHeight="15"/>
  <cols>
    <col min="1" max="1" width="4.85546875" style="28" customWidth="1"/>
    <col min="2" max="2" width="75" style="46" customWidth="1"/>
    <col min="3" max="5" width="9.140625" style="28"/>
    <col min="6" max="6" width="13.5703125" style="37" customWidth="1"/>
    <col min="7" max="7" width="11.7109375" style="47" customWidth="1"/>
    <col min="8" max="8" width="13.140625" style="28" bestFit="1" customWidth="1"/>
    <col min="9" max="16384" width="9.140625" style="28"/>
  </cols>
  <sheetData>
    <row r="1" spans="1:9" ht="15.75" customHeight="1">
      <c r="A1" s="198" t="s">
        <v>49</v>
      </c>
      <c r="B1" s="198"/>
      <c r="C1" s="198"/>
      <c r="D1" s="198"/>
      <c r="E1" s="198"/>
      <c r="F1" s="198"/>
      <c r="G1" s="198"/>
      <c r="H1" s="80"/>
      <c r="I1" s="80"/>
    </row>
    <row r="2" spans="1:9" ht="37.5" customHeight="1">
      <c r="A2" s="198" t="s">
        <v>47</v>
      </c>
      <c r="B2" s="198"/>
      <c r="C2" s="198"/>
      <c r="D2" s="198"/>
      <c r="E2" s="198"/>
      <c r="F2" s="198"/>
      <c r="G2" s="198"/>
      <c r="H2" s="80"/>
      <c r="I2" s="80"/>
    </row>
    <row r="3" spans="1:9" ht="15" customHeight="1">
      <c r="A3" s="199" t="s">
        <v>48</v>
      </c>
      <c r="B3" s="199"/>
      <c r="C3" s="199"/>
      <c r="D3" s="199"/>
      <c r="E3" s="199"/>
      <c r="F3" s="199"/>
      <c r="G3" s="199"/>
      <c r="H3" s="81"/>
      <c r="I3" s="81"/>
    </row>
    <row r="4" spans="1:9" ht="19.5" customHeight="1">
      <c r="A4" s="205" t="s">
        <v>115</v>
      </c>
      <c r="B4" s="205"/>
      <c r="C4" s="2"/>
      <c r="D4" s="2"/>
      <c r="E4" s="2"/>
      <c r="F4" s="2"/>
      <c r="G4" s="2"/>
      <c r="H4" s="19"/>
      <c r="I4" s="16"/>
    </row>
    <row r="5" spans="1:9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9" s="29" customFormat="1" ht="15.75" customHeight="1">
      <c r="A6" s="202"/>
      <c r="B6" s="202"/>
      <c r="C6" s="202"/>
      <c r="D6" s="202"/>
      <c r="E6" s="202"/>
      <c r="F6" s="202"/>
      <c r="G6" s="204"/>
    </row>
    <row r="7" spans="1:9" ht="15.75">
      <c r="A7" s="30">
        <v>1</v>
      </c>
      <c r="B7" s="31" t="s">
        <v>173</v>
      </c>
      <c r="C7" s="32"/>
      <c r="D7" s="32"/>
      <c r="E7" s="32"/>
      <c r="F7" s="33"/>
      <c r="G7" s="34"/>
    </row>
    <row r="8" spans="1:9" s="37" customFormat="1" ht="16.5" customHeight="1">
      <c r="A8" s="33"/>
      <c r="B8" s="35" t="s">
        <v>66</v>
      </c>
      <c r="C8" s="33" t="s">
        <v>0</v>
      </c>
      <c r="D8" s="83">
        <v>171</v>
      </c>
      <c r="E8" s="83"/>
      <c r="F8" s="83">
        <f t="shared" ref="F8:F16" si="0">D8+E8</f>
        <v>171</v>
      </c>
      <c r="G8" s="40">
        <f>G11/(F8+F9)</f>
        <v>0.1077496646337818</v>
      </c>
      <c r="H8" s="36"/>
    </row>
    <row r="9" spans="1:9" s="37" customFormat="1" ht="16.5" customHeight="1">
      <c r="A9" s="33"/>
      <c r="B9" s="35" t="s">
        <v>24</v>
      </c>
      <c r="C9" s="33" t="s">
        <v>0</v>
      </c>
      <c r="D9" s="83"/>
      <c r="E9" s="83">
        <v>498</v>
      </c>
      <c r="F9" s="83">
        <f t="shared" si="0"/>
        <v>498</v>
      </c>
      <c r="G9" s="40"/>
      <c r="H9" s="36"/>
    </row>
    <row r="10" spans="1:9" s="37" customFormat="1" ht="16.5" customHeight="1">
      <c r="A10" s="33"/>
      <c r="B10" s="38" t="s">
        <v>26</v>
      </c>
      <c r="C10" s="32" t="s">
        <v>7</v>
      </c>
      <c r="D10" s="84">
        <f>410*3.853/1000</f>
        <v>1.5797300000000001</v>
      </c>
      <c r="E10" s="84">
        <f>347*3.853/1000</f>
        <v>1.336991</v>
      </c>
      <c r="F10" s="89">
        <f t="shared" si="0"/>
        <v>2.9167209999999999</v>
      </c>
      <c r="G10" s="40"/>
    </row>
    <row r="11" spans="1:9" s="37" customFormat="1" ht="16.5" customHeight="1">
      <c r="A11" s="33"/>
      <c r="B11" s="38" t="s">
        <v>22</v>
      </c>
      <c r="C11" s="32" t="s">
        <v>7</v>
      </c>
      <c r="D11" s="84">
        <f>190*2.466/1000</f>
        <v>0.46854000000000001</v>
      </c>
      <c r="E11" s="84">
        <f>269*2.466/1000</f>
        <v>0.663354</v>
      </c>
      <c r="F11" s="89">
        <f t="shared" si="0"/>
        <v>1.131894</v>
      </c>
      <c r="G11" s="40">
        <f>SUM(F10:F16,F18:F22,F40:F43)</f>
        <v>72.084525640000024</v>
      </c>
    </row>
    <row r="12" spans="1:9">
      <c r="A12" s="32"/>
      <c r="B12" s="38" t="s">
        <v>17</v>
      </c>
      <c r="C12" s="32" t="s">
        <v>7</v>
      </c>
      <c r="D12" s="84">
        <f>209*1.578/1000</f>
        <v>0.32980200000000004</v>
      </c>
      <c r="E12" s="84">
        <f>604*1.578/1000</f>
        <v>0.95311200000000007</v>
      </c>
      <c r="F12" s="89">
        <f t="shared" si="0"/>
        <v>1.2829140000000001</v>
      </c>
      <c r="G12" s="40"/>
    </row>
    <row r="13" spans="1:9" ht="15.75" customHeight="1">
      <c r="A13" s="32"/>
      <c r="B13" s="38" t="s">
        <v>20</v>
      </c>
      <c r="C13" s="32" t="s">
        <v>7</v>
      </c>
      <c r="D13" s="84">
        <f>(1104+32)*0.888/1000</f>
        <v>1.0087680000000001</v>
      </c>
      <c r="E13" s="84">
        <f>(1769)*0.888/1000</f>
        <v>1.570872</v>
      </c>
      <c r="F13" s="89">
        <f t="shared" si="0"/>
        <v>2.5796400000000004</v>
      </c>
      <c r="G13" s="40"/>
    </row>
    <row r="14" spans="1:9" ht="15.75" customHeight="1">
      <c r="A14" s="32"/>
      <c r="B14" s="38" t="s">
        <v>18</v>
      </c>
      <c r="C14" s="32" t="s">
        <v>7</v>
      </c>
      <c r="D14" s="84">
        <f>496*0.617/1000</f>
        <v>0.30603199999999997</v>
      </c>
      <c r="E14" s="84">
        <f>566*0.617/1000</f>
        <v>0.34922199999999998</v>
      </c>
      <c r="F14" s="89">
        <f t="shared" si="0"/>
        <v>0.655254</v>
      </c>
      <c r="G14" s="49"/>
    </row>
    <row r="15" spans="1:9" ht="15.75" customHeight="1">
      <c r="A15" s="32"/>
      <c r="B15" s="38" t="s">
        <v>19</v>
      </c>
      <c r="C15" s="32" t="s">
        <v>7</v>
      </c>
      <c r="D15" s="84">
        <f>(6960+2394)*0.395/1000</f>
        <v>3.6948300000000005</v>
      </c>
      <c r="E15" s="84">
        <f>(20805+6134+720)*0.395/1000</f>
        <v>10.925305</v>
      </c>
      <c r="F15" s="89">
        <f t="shared" si="0"/>
        <v>14.620135000000001</v>
      </c>
      <c r="G15" s="49"/>
    </row>
    <row r="16" spans="1:9">
      <c r="A16" s="32"/>
      <c r="B16" s="38" t="s">
        <v>23</v>
      </c>
      <c r="C16" s="32" t="s">
        <v>7</v>
      </c>
      <c r="D16" s="84">
        <f>107*0.395/1000</f>
        <v>4.2265000000000004E-2</v>
      </c>
      <c r="E16" s="84">
        <f>469*0.395/1000</f>
        <v>0.185255</v>
      </c>
      <c r="F16" s="89">
        <f t="shared" si="0"/>
        <v>0.22752</v>
      </c>
      <c r="G16" s="40"/>
    </row>
    <row r="17" spans="1:8" ht="15.75">
      <c r="A17" s="33">
        <v>2</v>
      </c>
      <c r="B17" s="82" t="s">
        <v>67</v>
      </c>
      <c r="C17" s="32"/>
      <c r="D17" s="39"/>
      <c r="E17" s="39"/>
      <c r="F17" s="39"/>
      <c r="G17" s="40"/>
      <c r="H17" s="72"/>
    </row>
    <row r="18" spans="1:8">
      <c r="A18" s="32"/>
      <c r="B18" s="42" t="s">
        <v>76</v>
      </c>
      <c r="C18" s="43" t="s">
        <v>7</v>
      </c>
      <c r="D18" s="89">
        <f>D37</f>
        <v>0</v>
      </c>
      <c r="E18" s="89">
        <f>E37</f>
        <v>2.2081550399999998</v>
      </c>
      <c r="F18" s="89">
        <f>D18+E18</f>
        <v>2.2081550399999998</v>
      </c>
      <c r="G18" s="40"/>
    </row>
    <row r="19" spans="1:8">
      <c r="A19" s="32"/>
      <c r="B19" s="42" t="s">
        <v>68</v>
      </c>
      <c r="C19" s="43" t="s">
        <v>7</v>
      </c>
      <c r="D19" s="89">
        <f>D24+D27+D30+D33</f>
        <v>0.87938784000000003</v>
      </c>
      <c r="E19" s="89">
        <f>E24+E27+E30+E33</f>
        <v>2.5678478400000002</v>
      </c>
      <c r="F19" s="89">
        <f>D19+E19</f>
        <v>3.4472356800000004</v>
      </c>
      <c r="G19" s="40"/>
    </row>
    <row r="20" spans="1:8">
      <c r="A20" s="32"/>
      <c r="B20" s="42" t="s">
        <v>71</v>
      </c>
      <c r="C20" s="43" t="s">
        <v>7</v>
      </c>
      <c r="D20" s="89">
        <f>D38</f>
        <v>0</v>
      </c>
      <c r="E20" s="89">
        <f>E38</f>
        <v>1.2384424000000001</v>
      </c>
      <c r="F20" s="89">
        <f>D20+E20</f>
        <v>1.2384424000000001</v>
      </c>
      <c r="G20" s="40"/>
    </row>
    <row r="21" spans="1:8">
      <c r="A21" s="32"/>
      <c r="B21" s="42" t="s">
        <v>70</v>
      </c>
      <c r="C21" s="43" t="s">
        <v>7</v>
      </c>
      <c r="D21" s="89">
        <f>D25+D28+D31+D34</f>
        <v>0.27259739999999999</v>
      </c>
      <c r="E21" s="89">
        <f>E25+E28+E31+E34</f>
        <v>0.79265439999999998</v>
      </c>
      <c r="F21" s="89">
        <f>D21+E21</f>
        <v>1.0652518</v>
      </c>
      <c r="G21" s="40"/>
    </row>
    <row r="22" spans="1:8">
      <c r="A22" s="32"/>
      <c r="B22" s="42" t="s">
        <v>105</v>
      </c>
      <c r="C22" s="43" t="s">
        <v>7</v>
      </c>
      <c r="D22" s="89">
        <f>D35</f>
        <v>0</v>
      </c>
      <c r="E22" s="89">
        <f>E35</f>
        <v>3.8488800000000004E-2</v>
      </c>
      <c r="F22" s="89">
        <f>D22+E22</f>
        <v>3.8488800000000004E-2</v>
      </c>
      <c r="G22" s="40"/>
    </row>
    <row r="23" spans="1:8">
      <c r="A23" s="32"/>
      <c r="B23" s="42" t="s">
        <v>174</v>
      </c>
      <c r="C23" s="43"/>
      <c r="D23" s="90"/>
      <c r="E23" s="90"/>
      <c r="F23" s="90"/>
      <c r="G23" s="40"/>
    </row>
    <row r="24" spans="1:8">
      <c r="A24" s="32"/>
      <c r="B24" s="38" t="s">
        <v>17</v>
      </c>
      <c r="C24" s="32" t="s">
        <v>7</v>
      </c>
      <c r="D24" s="85"/>
      <c r="E24" s="84">
        <f>(2.87*8)*1.578/1000*5</f>
        <v>0.18115440000000005</v>
      </c>
      <c r="F24" s="90"/>
      <c r="G24" s="40"/>
    </row>
    <row r="25" spans="1:8">
      <c r="A25" s="32"/>
      <c r="B25" s="38" t="s">
        <v>19</v>
      </c>
      <c r="C25" s="32" t="s">
        <v>7</v>
      </c>
      <c r="D25" s="85"/>
      <c r="E25" s="84">
        <f>(1.42*20)*0.395/1000*5</f>
        <v>5.6090000000000001E-2</v>
      </c>
      <c r="F25" s="90"/>
      <c r="G25" s="40"/>
    </row>
    <row r="26" spans="1:8">
      <c r="A26" s="32"/>
      <c r="B26" s="42" t="s">
        <v>146</v>
      </c>
      <c r="C26" s="43"/>
      <c r="D26" s="90"/>
      <c r="E26" s="90"/>
      <c r="F26" s="90"/>
      <c r="G26" s="40"/>
    </row>
    <row r="27" spans="1:8">
      <c r="A27" s="32"/>
      <c r="B27" s="38" t="s">
        <v>17</v>
      </c>
      <c r="C27" s="32" t="s">
        <v>7</v>
      </c>
      <c r="D27" s="84">
        <f>(3.87*8)*1.578/1000*18</f>
        <v>0.87938784000000003</v>
      </c>
      <c r="E27" s="84">
        <f>(3.87*8)*1.578/1000*31</f>
        <v>1.5145012800000002</v>
      </c>
      <c r="F27" s="90"/>
      <c r="G27" s="40"/>
    </row>
    <row r="28" spans="1:8">
      <c r="A28" s="32"/>
      <c r="B28" s="38" t="s">
        <v>19</v>
      </c>
      <c r="C28" s="32" t="s">
        <v>7</v>
      </c>
      <c r="D28" s="84">
        <f>(1.42*27)*0.395/1000*18</f>
        <v>0.27259739999999999</v>
      </c>
      <c r="E28" s="84">
        <f>(1.42*27)*0.395/1000*31</f>
        <v>0.46947329999999998</v>
      </c>
      <c r="F28" s="90"/>
      <c r="G28" s="40"/>
    </row>
    <row r="29" spans="1:8">
      <c r="A29" s="32"/>
      <c r="B29" s="42" t="s">
        <v>147</v>
      </c>
      <c r="C29" s="43"/>
      <c r="D29" s="90"/>
      <c r="E29" s="90"/>
      <c r="F29" s="90"/>
      <c r="G29" s="40"/>
    </row>
    <row r="30" spans="1:8">
      <c r="A30" s="32"/>
      <c r="B30" s="38" t="s">
        <v>17</v>
      </c>
      <c r="C30" s="32" t="s">
        <v>7</v>
      </c>
      <c r="D30" s="85"/>
      <c r="E30" s="84">
        <f>(5.25*8)*1.578/1000*8</f>
        <v>0.53020800000000001</v>
      </c>
      <c r="F30" s="90"/>
      <c r="G30" s="40"/>
    </row>
    <row r="31" spans="1:8">
      <c r="A31" s="32"/>
      <c r="B31" s="38" t="s">
        <v>19</v>
      </c>
      <c r="C31" s="32" t="s">
        <v>7</v>
      </c>
      <c r="D31" s="85"/>
      <c r="E31" s="84">
        <f>(1.42*27)*0.395/1000*8</f>
        <v>0.1211544</v>
      </c>
      <c r="F31" s="90"/>
      <c r="G31" s="40"/>
    </row>
    <row r="32" spans="1:8">
      <c r="A32" s="32"/>
      <c r="B32" s="105" t="s">
        <v>175</v>
      </c>
      <c r="C32" s="106"/>
      <c r="D32" s="107"/>
      <c r="E32" s="107"/>
      <c r="F32" s="90"/>
      <c r="G32" s="40"/>
      <c r="H32" s="41"/>
    </row>
    <row r="33" spans="1:8">
      <c r="A33" s="32"/>
      <c r="B33" s="108" t="s">
        <v>17</v>
      </c>
      <c r="C33" s="109" t="s">
        <v>7</v>
      </c>
      <c r="D33" s="110"/>
      <c r="E33" s="110">
        <f>(3.87*8)*1.578/1000*7</f>
        <v>0.34198416000000004</v>
      </c>
      <c r="F33" s="90"/>
      <c r="G33" s="40"/>
      <c r="H33" s="41"/>
    </row>
    <row r="34" spans="1:8">
      <c r="A34" s="32"/>
      <c r="B34" s="108" t="s">
        <v>19</v>
      </c>
      <c r="C34" s="109" t="s">
        <v>7</v>
      </c>
      <c r="D34" s="110"/>
      <c r="E34" s="110">
        <f>(1.82*29)*0.395/1000*7</f>
        <v>0.1459367</v>
      </c>
      <c r="F34" s="90"/>
      <c r="G34" s="40"/>
      <c r="H34" s="41"/>
    </row>
    <row r="35" spans="1:8">
      <c r="A35" s="32"/>
      <c r="B35" s="108" t="s">
        <v>23</v>
      </c>
      <c r="C35" s="109" t="s">
        <v>7</v>
      </c>
      <c r="D35" s="110"/>
      <c r="E35" s="110">
        <f>(0.48*29)*0.395/1000*7</f>
        <v>3.8488800000000004E-2</v>
      </c>
      <c r="F35" s="90"/>
      <c r="G35" s="40"/>
      <c r="H35" s="41"/>
    </row>
    <row r="36" spans="1:8">
      <c r="A36" s="32"/>
      <c r="B36" s="42" t="s">
        <v>176</v>
      </c>
      <c r="C36" s="43"/>
      <c r="D36" s="90"/>
      <c r="E36" s="90"/>
      <c r="F36" s="90"/>
      <c r="G36" s="40"/>
      <c r="H36" s="41"/>
    </row>
    <row r="37" spans="1:8">
      <c r="A37" s="32"/>
      <c r="B37" s="38" t="s">
        <v>22</v>
      </c>
      <c r="C37" s="32" t="s">
        <v>7</v>
      </c>
      <c r="D37" s="85"/>
      <c r="E37" s="84">
        <f>(2.87*12)*2.466/1000*26</f>
        <v>2.2081550399999998</v>
      </c>
      <c r="F37" s="90"/>
      <c r="G37" s="40"/>
      <c r="H37" s="41"/>
    </row>
    <row r="38" spans="1:8">
      <c r="A38" s="32"/>
      <c r="B38" s="38" t="s">
        <v>18</v>
      </c>
      <c r="C38" s="32" t="s">
        <v>7</v>
      </c>
      <c r="D38" s="85"/>
      <c r="E38" s="84">
        <f>(1.93*40)*0.617/1000*26</f>
        <v>1.2384424000000001</v>
      </c>
      <c r="F38" s="90"/>
      <c r="G38" s="40"/>
    </row>
    <row r="39" spans="1:8" ht="15.75">
      <c r="A39" s="33">
        <v>3</v>
      </c>
      <c r="B39" s="82" t="s">
        <v>77</v>
      </c>
      <c r="C39" s="32"/>
      <c r="D39" s="44"/>
      <c r="E39" s="44"/>
      <c r="F39" s="44"/>
      <c r="G39" s="40"/>
    </row>
    <row r="40" spans="1:8">
      <c r="A40" s="32"/>
      <c r="B40" s="42" t="s">
        <v>68</v>
      </c>
      <c r="C40" s="43" t="s">
        <v>7</v>
      </c>
      <c r="D40" s="89">
        <f>D66+D69</f>
        <v>0.92824272000000008</v>
      </c>
      <c r="E40" s="89">
        <f>E66+E69</f>
        <v>8.8915881600000013</v>
      </c>
      <c r="F40" s="89">
        <f>D40+E40</f>
        <v>9.8198308800000014</v>
      </c>
      <c r="G40" s="40"/>
    </row>
    <row r="41" spans="1:8">
      <c r="A41" s="32"/>
      <c r="B41" s="42" t="s">
        <v>69</v>
      </c>
      <c r="C41" s="43" t="s">
        <v>7</v>
      </c>
      <c r="D41" s="89">
        <f>D45+D48+D51+D54+D57+D60+D63+D72+D75+D78+D81+D84+D87+D90+D93</f>
        <v>7.3866681600000001</v>
      </c>
      <c r="E41" s="89">
        <f>E45+E48+E51+E54+E57+E60+E63+E72+E75+E78+E81+E84+E87+E90+E93</f>
        <v>17.979176160000005</v>
      </c>
      <c r="F41" s="89">
        <f>D41+E41</f>
        <v>25.365844320000004</v>
      </c>
      <c r="G41" s="40"/>
    </row>
    <row r="42" spans="1:8">
      <c r="A42" s="32"/>
      <c r="B42" s="42" t="s">
        <v>71</v>
      </c>
      <c r="C42" s="43" t="s">
        <v>7</v>
      </c>
      <c r="D42" s="89">
        <f>D70</f>
        <v>0.27009791999999999</v>
      </c>
      <c r="E42" s="89">
        <f>E70</f>
        <v>0.16881119999999999</v>
      </c>
      <c r="F42" s="89">
        <f>D42+E42</f>
        <v>0.43890911999999999</v>
      </c>
      <c r="G42" s="40"/>
    </row>
    <row r="43" spans="1:8">
      <c r="A43" s="32"/>
      <c r="B43" s="42" t="s">
        <v>70</v>
      </c>
      <c r="C43" s="43" t="s">
        <v>7</v>
      </c>
      <c r="D43" s="89">
        <f>D46+D49+D52+D55+D58+D61+D64+D67+D73+D76+D79+D82+D85+D88+D91+D94</f>
        <v>1.2475680000000002</v>
      </c>
      <c r="E43" s="89">
        <f>E46+E49+E52+E55+E58+E61+E64+E67+E73+E76+E79+E82+E85+E88+E91+E94</f>
        <v>3.8007216000000001</v>
      </c>
      <c r="F43" s="89">
        <f>D43+E43</f>
        <v>5.0482896000000004</v>
      </c>
      <c r="G43" s="40"/>
    </row>
    <row r="44" spans="1:8">
      <c r="A44" s="32"/>
      <c r="B44" s="42" t="s">
        <v>177</v>
      </c>
      <c r="C44" s="43"/>
      <c r="D44" s="90"/>
      <c r="E44" s="90"/>
      <c r="F44" s="90"/>
      <c r="G44" s="40"/>
    </row>
    <row r="45" spans="1:8">
      <c r="A45" s="32"/>
      <c r="B45" s="38" t="s">
        <v>20</v>
      </c>
      <c r="C45" s="32" t="s">
        <v>7</v>
      </c>
      <c r="D45" s="85"/>
      <c r="E45" s="84">
        <f>3.87*2*0.888/1000*46</f>
        <v>0.31616351999999998</v>
      </c>
      <c r="F45" s="90"/>
      <c r="G45" s="40"/>
    </row>
    <row r="46" spans="1:8">
      <c r="A46" s="32"/>
      <c r="B46" s="38" t="s">
        <v>19</v>
      </c>
      <c r="C46" s="32" t="s">
        <v>7</v>
      </c>
      <c r="D46" s="85"/>
      <c r="E46" s="84">
        <f>0.12*18*0.395/1000*46</f>
        <v>3.9247200000000003E-2</v>
      </c>
      <c r="F46" s="90"/>
      <c r="G46" s="40"/>
    </row>
    <row r="47" spans="1:8">
      <c r="A47" s="32"/>
      <c r="B47" s="111" t="s">
        <v>178</v>
      </c>
      <c r="C47" s="112"/>
      <c r="D47" s="113"/>
      <c r="E47" s="113"/>
      <c r="F47" s="90"/>
      <c r="G47" s="40"/>
    </row>
    <row r="48" spans="1:8">
      <c r="A48" s="32"/>
      <c r="B48" s="114" t="s">
        <v>20</v>
      </c>
      <c r="C48" s="115" t="s">
        <v>7</v>
      </c>
      <c r="D48" s="116"/>
      <c r="E48" s="116">
        <f>3.87*2*0.888/1000*256</f>
        <v>1.75951872</v>
      </c>
      <c r="F48" s="90"/>
      <c r="G48" s="40"/>
    </row>
    <row r="49" spans="1:7">
      <c r="A49" s="32"/>
      <c r="B49" s="114" t="s">
        <v>19</v>
      </c>
      <c r="C49" s="115" t="s">
        <v>7</v>
      </c>
      <c r="D49" s="116"/>
      <c r="E49" s="116">
        <f>0.16*19*0.395/1000*256</f>
        <v>0.30740480000000003</v>
      </c>
      <c r="F49" s="90"/>
      <c r="G49" s="40"/>
    </row>
    <row r="50" spans="1:7">
      <c r="A50" s="32"/>
      <c r="B50" s="42" t="s">
        <v>152</v>
      </c>
      <c r="C50" s="43"/>
      <c r="D50" s="90"/>
      <c r="E50" s="90"/>
      <c r="F50" s="90"/>
      <c r="G50" s="40"/>
    </row>
    <row r="51" spans="1:7">
      <c r="A51" s="32"/>
      <c r="B51" s="38" t="s">
        <v>20</v>
      </c>
      <c r="C51" s="32" t="s">
        <v>7</v>
      </c>
      <c r="D51" s="84">
        <f>3.87*2*0.888/1000*778</f>
        <v>5.3472873600000002</v>
      </c>
      <c r="E51" s="84">
        <f>3.87*2*0.888/1000*1631</f>
        <v>11.210058719999999</v>
      </c>
      <c r="F51" s="90"/>
      <c r="G51" s="40"/>
    </row>
    <row r="52" spans="1:7">
      <c r="A52" s="32"/>
      <c r="B52" s="38" t="s">
        <v>19</v>
      </c>
      <c r="C52" s="32" t="s">
        <v>7</v>
      </c>
      <c r="D52" s="84">
        <f>0.16*19*0.395/1000*778</f>
        <v>0.93422240000000012</v>
      </c>
      <c r="E52" s="84">
        <f>0.16*19*0.395/1000*1631</f>
        <v>1.9585048000000003</v>
      </c>
      <c r="F52" s="90"/>
      <c r="G52" s="40"/>
    </row>
    <row r="53" spans="1:7">
      <c r="A53" s="32"/>
      <c r="B53" s="42" t="s">
        <v>125</v>
      </c>
      <c r="C53" s="43"/>
      <c r="D53" s="90"/>
      <c r="E53" s="90"/>
      <c r="F53" s="90"/>
      <c r="G53" s="40"/>
    </row>
    <row r="54" spans="1:7">
      <c r="A54" s="32"/>
      <c r="B54" s="38" t="s">
        <v>20</v>
      </c>
      <c r="C54" s="32" t="s">
        <v>7</v>
      </c>
      <c r="D54" s="85"/>
      <c r="E54" s="84">
        <f>3.87*2*0.888/1000*25</f>
        <v>0.17182800000000001</v>
      </c>
      <c r="F54" s="90"/>
      <c r="G54" s="40"/>
    </row>
    <row r="55" spans="1:7">
      <c r="A55" s="32"/>
      <c r="B55" s="38" t="s">
        <v>19</v>
      </c>
      <c r="C55" s="32" t="s">
        <v>7</v>
      </c>
      <c r="D55" s="85"/>
      <c r="E55" s="84">
        <f>0.16*19*0.395/1000*25</f>
        <v>3.0020000000000005E-2</v>
      </c>
      <c r="F55" s="90"/>
      <c r="G55" s="40"/>
    </row>
    <row r="56" spans="1:7">
      <c r="A56" s="32"/>
      <c r="B56" s="42" t="s">
        <v>126</v>
      </c>
      <c r="C56" s="43"/>
      <c r="D56" s="90"/>
      <c r="E56" s="90"/>
      <c r="F56" s="90"/>
      <c r="G56" s="40"/>
    </row>
    <row r="57" spans="1:7">
      <c r="A57" s="32"/>
      <c r="B57" s="38" t="s">
        <v>20</v>
      </c>
      <c r="C57" s="32" t="s">
        <v>7</v>
      </c>
      <c r="D57" s="84">
        <f>5.03*2*0.888/1000*142</f>
        <v>1.2685257599999999</v>
      </c>
      <c r="E57" s="84">
        <f>5.03*2*0.888/1000*215</f>
        <v>1.9206552000000001</v>
      </c>
      <c r="F57" s="90"/>
      <c r="G57" s="40"/>
    </row>
    <row r="58" spans="1:7">
      <c r="A58" s="32"/>
      <c r="B58" s="38" t="s">
        <v>19</v>
      </c>
      <c r="C58" s="32" t="s">
        <v>7</v>
      </c>
      <c r="D58" s="84">
        <f>0.16*19*0.395/1000*142</f>
        <v>0.17051360000000002</v>
      </c>
      <c r="E58" s="84">
        <f>0.16*19*0.395/1000*215</f>
        <v>0.25817200000000001</v>
      </c>
      <c r="F58" s="90"/>
      <c r="G58" s="40"/>
    </row>
    <row r="59" spans="1:7">
      <c r="A59" s="32"/>
      <c r="B59" s="42" t="s">
        <v>179</v>
      </c>
      <c r="C59" s="43"/>
      <c r="D59" s="90"/>
      <c r="E59" s="90"/>
      <c r="F59" s="90"/>
      <c r="G59" s="40"/>
    </row>
    <row r="60" spans="1:7">
      <c r="A60" s="32"/>
      <c r="B60" s="38" t="s">
        <v>20</v>
      </c>
      <c r="C60" s="32" t="s">
        <v>7</v>
      </c>
      <c r="D60" s="85"/>
      <c r="E60" s="84">
        <f>4.62*2*0.888/1000*25</f>
        <v>0.20512800000000003</v>
      </c>
      <c r="F60" s="90"/>
      <c r="G60" s="40"/>
    </row>
    <row r="61" spans="1:7">
      <c r="A61" s="32"/>
      <c r="B61" s="38" t="s">
        <v>19</v>
      </c>
      <c r="C61" s="32" t="s">
        <v>7</v>
      </c>
      <c r="D61" s="85"/>
      <c r="E61" s="84">
        <f>0.16*22*0.395/1000*25</f>
        <v>3.4760000000000006E-2</v>
      </c>
      <c r="F61" s="90"/>
      <c r="G61" s="40"/>
    </row>
    <row r="62" spans="1:7">
      <c r="A62" s="32"/>
      <c r="B62" s="42" t="s">
        <v>180</v>
      </c>
      <c r="C62" s="43"/>
      <c r="D62" s="90"/>
      <c r="E62" s="90"/>
      <c r="F62" s="90"/>
      <c r="G62" s="40"/>
    </row>
    <row r="63" spans="1:7">
      <c r="A63" s="32"/>
      <c r="B63" s="38" t="s">
        <v>20</v>
      </c>
      <c r="C63" s="32" t="s">
        <v>7</v>
      </c>
      <c r="D63" s="85"/>
      <c r="E63" s="84">
        <f>5.68*2*0.888/1000*86</f>
        <v>0.86754047999999984</v>
      </c>
      <c r="F63" s="90"/>
      <c r="G63" s="40"/>
    </row>
    <row r="64" spans="1:7">
      <c r="A64" s="32"/>
      <c r="B64" s="38" t="s">
        <v>19</v>
      </c>
      <c r="C64" s="32" t="s">
        <v>7</v>
      </c>
      <c r="D64" s="85"/>
      <c r="E64" s="84">
        <f>0.16*22*0.395/1000*86</f>
        <v>0.11957440000000001</v>
      </c>
      <c r="F64" s="90"/>
      <c r="G64" s="40"/>
    </row>
    <row r="65" spans="1:7">
      <c r="A65" s="32"/>
      <c r="B65" s="42" t="s">
        <v>153</v>
      </c>
      <c r="C65" s="43"/>
      <c r="D65" s="90"/>
      <c r="E65" s="90"/>
      <c r="F65" s="90"/>
      <c r="G65" s="40"/>
    </row>
    <row r="66" spans="1:7">
      <c r="A66" s="32"/>
      <c r="B66" s="86" t="s">
        <v>17</v>
      </c>
      <c r="C66" s="32" t="s">
        <v>7</v>
      </c>
      <c r="D66" s="84">
        <f>3.87*2*1.578/1000*12</f>
        <v>0.14656464000000002</v>
      </c>
      <c r="E66" s="84">
        <f>3.87*2*1.578/1000*688</f>
        <v>8.4030393600000011</v>
      </c>
      <c r="F66" s="90"/>
      <c r="G66" s="40"/>
    </row>
    <row r="67" spans="1:7">
      <c r="A67" s="32"/>
      <c r="B67" s="86" t="s">
        <v>19</v>
      </c>
      <c r="C67" s="32" t="s">
        <v>7</v>
      </c>
      <c r="D67" s="84">
        <f>0.16*19*0.395/1000*12</f>
        <v>1.4409600000000002E-2</v>
      </c>
      <c r="E67" s="84">
        <f>0.16*19*0.395/1000*688</f>
        <v>0.82615040000000006</v>
      </c>
      <c r="F67" s="90"/>
      <c r="G67" s="40"/>
    </row>
    <row r="68" spans="1:7">
      <c r="A68" s="32"/>
      <c r="B68" s="42" t="s">
        <v>181</v>
      </c>
      <c r="C68" s="43"/>
      <c r="D68" s="90"/>
      <c r="E68" s="90"/>
      <c r="F68" s="90"/>
      <c r="G68" s="40"/>
    </row>
    <row r="69" spans="1:7">
      <c r="A69" s="32"/>
      <c r="B69" s="86" t="s">
        <v>17</v>
      </c>
      <c r="C69" s="32" t="s">
        <v>7</v>
      </c>
      <c r="D69" s="84">
        <f>3.87*2*1.578/1000*64</f>
        <v>0.78167808000000005</v>
      </c>
      <c r="E69" s="84">
        <f>3.87*2*1.578/1000*40</f>
        <v>0.48854880000000001</v>
      </c>
      <c r="F69" s="90"/>
      <c r="G69" s="40"/>
    </row>
    <row r="70" spans="1:7">
      <c r="A70" s="32"/>
      <c r="B70" s="97" t="s">
        <v>18</v>
      </c>
      <c r="C70" s="32" t="s">
        <v>7</v>
      </c>
      <c r="D70" s="84">
        <f>0.36*19*0.617/1000*64</f>
        <v>0.27009791999999999</v>
      </c>
      <c r="E70" s="84">
        <f>0.36*19*0.617/1000*40</f>
        <v>0.16881119999999999</v>
      </c>
      <c r="F70" s="90"/>
      <c r="G70" s="40"/>
    </row>
    <row r="71" spans="1:7">
      <c r="A71" s="32"/>
      <c r="B71" s="42" t="s">
        <v>131</v>
      </c>
      <c r="C71" s="43"/>
      <c r="D71" s="90"/>
      <c r="E71" s="90"/>
      <c r="F71" s="90"/>
      <c r="G71" s="40"/>
    </row>
    <row r="72" spans="1:7">
      <c r="A72" s="32"/>
      <c r="B72" s="38" t="s">
        <v>20</v>
      </c>
      <c r="C72" s="32" t="s">
        <v>7</v>
      </c>
      <c r="D72" s="85"/>
      <c r="E72" s="84">
        <f>1.72*2*0.888/1000*8</f>
        <v>2.4437759999999999E-2</v>
      </c>
      <c r="F72" s="90"/>
      <c r="G72" s="40"/>
    </row>
    <row r="73" spans="1:7">
      <c r="A73" s="32"/>
      <c r="B73" s="38" t="s">
        <v>19</v>
      </c>
      <c r="C73" s="32" t="s">
        <v>7</v>
      </c>
      <c r="D73" s="85"/>
      <c r="E73" s="84">
        <f>0.12*8*0.395/1000*8</f>
        <v>3.0336E-3</v>
      </c>
      <c r="F73" s="90"/>
      <c r="G73" s="40"/>
    </row>
    <row r="74" spans="1:7">
      <c r="A74" s="32"/>
      <c r="B74" s="98" t="s">
        <v>133</v>
      </c>
      <c r="C74" s="99"/>
      <c r="D74" s="100"/>
      <c r="E74" s="100"/>
      <c r="F74" s="90"/>
      <c r="G74" s="40"/>
    </row>
    <row r="75" spans="1:7">
      <c r="A75" s="32"/>
      <c r="B75" s="101" t="s">
        <v>20</v>
      </c>
      <c r="C75" s="102" t="s">
        <v>7</v>
      </c>
      <c r="D75" s="103">
        <f>1.48*2*0.888/1000*30</f>
        <v>7.8854400000000005E-2</v>
      </c>
      <c r="E75" s="103">
        <f>1.48*2*0.888/1000*63</f>
        <v>0.16559424000000003</v>
      </c>
      <c r="F75" s="90"/>
      <c r="G75" s="40"/>
    </row>
    <row r="76" spans="1:7">
      <c r="A76" s="32"/>
      <c r="B76" s="101" t="s">
        <v>19</v>
      </c>
      <c r="C76" s="102" t="s">
        <v>7</v>
      </c>
      <c r="D76" s="103">
        <f>0.16*2*0.395/1000*30</f>
        <v>3.7920000000000002E-3</v>
      </c>
      <c r="E76" s="103">
        <f>0.16*2*0.395/1000*63</f>
        <v>7.9632000000000001E-3</v>
      </c>
      <c r="F76" s="90"/>
      <c r="G76" s="40"/>
    </row>
    <row r="77" spans="1:7">
      <c r="A77" s="32"/>
      <c r="B77" s="42" t="s">
        <v>134</v>
      </c>
      <c r="C77" s="43"/>
      <c r="D77" s="90"/>
      <c r="E77" s="90"/>
      <c r="F77" s="90"/>
      <c r="G77" s="40"/>
    </row>
    <row r="78" spans="1:7">
      <c r="A78" s="32"/>
      <c r="B78" s="38" t="s">
        <v>20</v>
      </c>
      <c r="C78" s="32" t="s">
        <v>7</v>
      </c>
      <c r="D78" s="85"/>
      <c r="E78" s="84">
        <f>2.3*2*0.888/1000*33</f>
        <v>0.13479839999999998</v>
      </c>
      <c r="F78" s="90"/>
      <c r="G78" s="40"/>
    </row>
    <row r="79" spans="1:7">
      <c r="A79" s="32"/>
      <c r="B79" s="38" t="s">
        <v>19</v>
      </c>
      <c r="C79" s="32" t="s">
        <v>7</v>
      </c>
      <c r="D79" s="85"/>
      <c r="E79" s="84">
        <f>0.16*5*0.395/1000*33</f>
        <v>1.0428000000000002E-2</v>
      </c>
      <c r="F79" s="90"/>
      <c r="G79" s="40"/>
    </row>
    <row r="80" spans="1:7">
      <c r="A80" s="32"/>
      <c r="B80" s="42" t="s">
        <v>139</v>
      </c>
      <c r="C80" s="43"/>
      <c r="D80" s="90"/>
      <c r="E80" s="90"/>
      <c r="F80" s="90"/>
      <c r="G80" s="40"/>
    </row>
    <row r="81" spans="1:7">
      <c r="A81" s="32"/>
      <c r="B81" s="38" t="s">
        <v>20</v>
      </c>
      <c r="C81" s="32" t="s">
        <v>7</v>
      </c>
      <c r="D81" s="84">
        <f>1.66*2*0.888/1000*34</f>
        <v>0.10023744</v>
      </c>
      <c r="E81" s="84">
        <f>1.66*2*0.888/1000*127</f>
        <v>0.37441632000000002</v>
      </c>
      <c r="F81" s="90"/>
      <c r="G81" s="40"/>
    </row>
    <row r="82" spans="1:7">
      <c r="A82" s="32"/>
      <c r="B82" s="38" t="s">
        <v>19</v>
      </c>
      <c r="C82" s="32" t="s">
        <v>7</v>
      </c>
      <c r="D82" s="84">
        <f>0.16*8*0.395/1000*34</f>
        <v>1.7190400000000002E-2</v>
      </c>
      <c r="E82" s="84">
        <f>0.16*8*0.395/1000*127</f>
        <v>6.421120000000001E-2</v>
      </c>
      <c r="F82" s="90"/>
      <c r="G82" s="40"/>
    </row>
    <row r="83" spans="1:7">
      <c r="A83" s="32"/>
      <c r="B83" s="42" t="s">
        <v>182</v>
      </c>
      <c r="C83" s="43"/>
      <c r="D83" s="90"/>
      <c r="E83" s="90"/>
      <c r="F83" s="90"/>
      <c r="G83" s="40"/>
    </row>
    <row r="84" spans="1:7">
      <c r="A84" s="32"/>
      <c r="B84" s="38" t="s">
        <v>20</v>
      </c>
      <c r="C84" s="32" t="s">
        <v>7</v>
      </c>
      <c r="D84" s="85"/>
      <c r="E84" s="84">
        <f>3.05*2*0.888/1000*22</f>
        <v>0.11916959999999999</v>
      </c>
      <c r="F84" s="90"/>
      <c r="G84" s="40"/>
    </row>
    <row r="85" spans="1:7">
      <c r="A85" s="32"/>
      <c r="B85" s="38" t="s">
        <v>19</v>
      </c>
      <c r="C85" s="32" t="s">
        <v>7</v>
      </c>
      <c r="D85" s="85"/>
      <c r="E85" s="84">
        <f>0.16*9*0.395/1000*22</f>
        <v>1.25136E-2</v>
      </c>
      <c r="F85" s="90"/>
      <c r="G85" s="40"/>
    </row>
    <row r="86" spans="1:7">
      <c r="A86" s="32"/>
      <c r="B86" s="42" t="s">
        <v>162</v>
      </c>
      <c r="C86" s="43"/>
      <c r="D86" s="90"/>
      <c r="E86" s="90"/>
      <c r="F86" s="90"/>
      <c r="G86" s="40"/>
    </row>
    <row r="87" spans="1:7">
      <c r="A87" s="32"/>
      <c r="B87" s="38" t="s">
        <v>20</v>
      </c>
      <c r="C87" s="32" t="s">
        <v>7</v>
      </c>
      <c r="D87" s="84">
        <f>0.98*2*0.888/1000*340</f>
        <v>0.59176320000000004</v>
      </c>
      <c r="E87" s="84">
        <f>0.98*2*0.888/1000*273</f>
        <v>0.47515103999999997</v>
      </c>
      <c r="F87" s="90"/>
      <c r="G87" s="40"/>
    </row>
    <row r="88" spans="1:7">
      <c r="A88" s="32"/>
      <c r="B88" s="38" t="s">
        <v>19</v>
      </c>
      <c r="C88" s="32" t="s">
        <v>7</v>
      </c>
      <c r="D88" s="84">
        <f>0.16*5*0.395/1000*340</f>
        <v>0.10744000000000001</v>
      </c>
      <c r="E88" s="84">
        <f>0.16*5*0.395/1000*273</f>
        <v>8.6268000000000011E-2</v>
      </c>
      <c r="F88" s="90"/>
      <c r="G88" s="40"/>
    </row>
    <row r="89" spans="1:7">
      <c r="A89" s="32"/>
      <c r="B89" s="42" t="s">
        <v>164</v>
      </c>
      <c r="C89" s="43"/>
      <c r="D89" s="90"/>
      <c r="E89" s="85"/>
      <c r="F89" s="90"/>
      <c r="G89" s="40"/>
    </row>
    <row r="90" spans="1:7">
      <c r="A90" s="32"/>
      <c r="B90" s="38" t="s">
        <v>20</v>
      </c>
      <c r="C90" s="32" t="s">
        <v>7</v>
      </c>
      <c r="D90" s="85"/>
      <c r="E90" s="84">
        <f>1.18*2*0.888/1000*87</f>
        <v>0.18232415999999999</v>
      </c>
      <c r="F90" s="90"/>
      <c r="G90" s="40"/>
    </row>
    <row r="91" spans="1:7">
      <c r="A91" s="32"/>
      <c r="B91" s="38" t="s">
        <v>19</v>
      </c>
      <c r="C91" s="32" t="s">
        <v>7</v>
      </c>
      <c r="D91" s="85"/>
      <c r="E91" s="84">
        <f>0.16*6*0.395/1000*87</f>
        <v>3.2990400000000003E-2</v>
      </c>
      <c r="F91" s="90"/>
      <c r="G91" s="40"/>
    </row>
    <row r="92" spans="1:7">
      <c r="A92" s="32"/>
      <c r="B92" s="42" t="s">
        <v>166</v>
      </c>
      <c r="C92" s="43"/>
      <c r="D92" s="90"/>
      <c r="E92" s="90"/>
      <c r="F92" s="90"/>
      <c r="G92" s="40"/>
    </row>
    <row r="93" spans="1:7">
      <c r="A93" s="32"/>
      <c r="B93" s="38" t="s">
        <v>20</v>
      </c>
      <c r="C93" s="32" t="s">
        <v>7</v>
      </c>
      <c r="D93" s="85"/>
      <c r="E93" s="84">
        <f>1.18*2*0.888/1000*25</f>
        <v>5.2392000000000001E-2</v>
      </c>
      <c r="F93" s="90"/>
      <c r="G93" s="40"/>
    </row>
    <row r="94" spans="1:7">
      <c r="A94" s="32"/>
      <c r="B94" s="38" t="s">
        <v>19</v>
      </c>
      <c r="C94" s="32" t="s">
        <v>7</v>
      </c>
      <c r="D94" s="85"/>
      <c r="E94" s="84">
        <f>0.16*6*0.395/1000*25</f>
        <v>9.4800000000000006E-3</v>
      </c>
      <c r="F94" s="90"/>
      <c r="G94" s="40"/>
    </row>
    <row r="95" spans="1:7">
      <c r="A95" s="33">
        <v>4</v>
      </c>
      <c r="B95" s="88" t="s">
        <v>103</v>
      </c>
      <c r="C95" s="32"/>
      <c r="D95" s="85"/>
      <c r="E95" s="85"/>
      <c r="F95" s="90"/>
      <c r="G95" s="40"/>
    </row>
    <row r="96" spans="1:7">
      <c r="A96" s="32"/>
      <c r="B96" s="38" t="s">
        <v>102</v>
      </c>
      <c r="C96" s="32" t="s">
        <v>0</v>
      </c>
      <c r="D96" s="90"/>
      <c r="E96" s="84">
        <v>0.8</v>
      </c>
      <c r="F96" s="89">
        <f>D96+E96</f>
        <v>0.8</v>
      </c>
      <c r="G96" s="40"/>
    </row>
    <row r="97" spans="1:7">
      <c r="A97" s="32"/>
      <c r="B97" s="5" t="s">
        <v>46</v>
      </c>
      <c r="C97" s="32" t="s">
        <v>0</v>
      </c>
      <c r="D97" s="39"/>
      <c r="E97" s="84">
        <v>2</v>
      </c>
      <c r="F97" s="89">
        <f>D97+E97</f>
        <v>2</v>
      </c>
      <c r="G97" s="34"/>
    </row>
    <row r="99" spans="1:7">
      <c r="A99" s="203" t="s">
        <v>143</v>
      </c>
      <c r="B99" s="203"/>
      <c r="C99" s="203"/>
      <c r="D99" s="203"/>
      <c r="E99" s="203"/>
      <c r="F99" s="203"/>
      <c r="G99" s="203"/>
    </row>
    <row r="100" spans="1:7">
      <c r="G100" s="48">
        <v>46272</v>
      </c>
    </row>
    <row r="110" spans="1:7" ht="27" customHeight="1"/>
  </sheetData>
  <mergeCells count="12">
    <mergeCell ref="G5:G6"/>
    <mergeCell ref="A99:G99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ABA7-AA84-4D3C-98BE-B8DCE9FFD11B}">
  <sheetPr>
    <tabColor rgb="FF92D050"/>
  </sheetPr>
  <dimension ref="A1:H23"/>
  <sheetViews>
    <sheetView topLeftCell="B13" zoomScaleNormal="100" workbookViewId="0">
      <selection activeCell="D10" sqref="D10:E16"/>
    </sheetView>
  </sheetViews>
  <sheetFormatPr defaultRowHeight="15"/>
  <cols>
    <col min="1" max="1" width="4.85546875" style="28" customWidth="1"/>
    <col min="2" max="2" width="75" style="46" customWidth="1"/>
    <col min="3" max="3" width="9.140625" style="28"/>
    <col min="4" max="5" width="9.42578125" style="28" bestFit="1" customWidth="1"/>
    <col min="6" max="6" width="13.5703125" style="37" customWidth="1"/>
    <col min="7" max="7" width="17.5703125" style="47" customWidth="1"/>
    <col min="8" max="8" width="13.140625" style="28" bestFit="1" customWidth="1"/>
    <col min="9" max="16384" width="9.140625" style="28"/>
  </cols>
  <sheetData>
    <row r="1" spans="1:8" ht="15.75" customHeight="1">
      <c r="A1" s="198" t="s">
        <v>49</v>
      </c>
      <c r="B1" s="198"/>
      <c r="C1" s="198"/>
      <c r="D1" s="198"/>
      <c r="E1" s="198"/>
      <c r="F1" s="198"/>
      <c r="G1" s="198"/>
    </row>
    <row r="2" spans="1:8" ht="37.5" customHeight="1">
      <c r="A2" s="198" t="s">
        <v>47</v>
      </c>
      <c r="B2" s="198"/>
      <c r="C2" s="198"/>
      <c r="D2" s="198"/>
      <c r="E2" s="198"/>
      <c r="F2" s="198"/>
      <c r="G2" s="198"/>
    </row>
    <row r="3" spans="1:8" ht="15" customHeight="1">
      <c r="A3" s="199" t="s">
        <v>48</v>
      </c>
      <c r="B3" s="199"/>
      <c r="C3" s="199"/>
      <c r="D3" s="199"/>
      <c r="E3" s="199"/>
      <c r="F3" s="199"/>
      <c r="G3" s="199"/>
    </row>
    <row r="4" spans="1:8" ht="19.5" customHeight="1">
      <c r="A4" s="205" t="s">
        <v>115</v>
      </c>
      <c r="B4" s="205"/>
      <c r="C4" s="2"/>
      <c r="D4" s="2"/>
      <c r="E4" s="2"/>
      <c r="F4" s="2"/>
      <c r="G4" s="2"/>
    </row>
    <row r="5" spans="1:8" s="29" customFormat="1" ht="15.75" customHeight="1">
      <c r="A5" s="201" t="s">
        <v>14</v>
      </c>
      <c r="B5" s="201" t="s">
        <v>15</v>
      </c>
      <c r="C5" s="201" t="s">
        <v>4</v>
      </c>
      <c r="D5" s="201" t="s">
        <v>52</v>
      </c>
      <c r="E5" s="201" t="s">
        <v>53</v>
      </c>
      <c r="F5" s="201" t="s">
        <v>16</v>
      </c>
      <c r="G5" s="204" t="s">
        <v>10</v>
      </c>
    </row>
    <row r="6" spans="1:8" s="29" customFormat="1" ht="15.75" customHeight="1">
      <c r="A6" s="202"/>
      <c r="B6" s="202"/>
      <c r="C6" s="202"/>
      <c r="D6" s="202"/>
      <c r="E6" s="202"/>
      <c r="F6" s="202"/>
      <c r="G6" s="204"/>
    </row>
    <row r="7" spans="1:8" ht="15.75">
      <c r="A7" s="30">
        <v>1</v>
      </c>
      <c r="B7" s="31" t="s">
        <v>183</v>
      </c>
      <c r="C7" s="32"/>
      <c r="D7" s="32"/>
      <c r="E7" s="32"/>
      <c r="F7" s="33"/>
      <c r="G7" s="34"/>
    </row>
    <row r="8" spans="1:8" s="37" customFormat="1" ht="16.5" customHeight="1">
      <c r="A8" s="33"/>
      <c r="B8" s="35" t="s">
        <v>24</v>
      </c>
      <c r="C8" s="33" t="s">
        <v>0</v>
      </c>
      <c r="D8" s="92">
        <v>203.4</v>
      </c>
      <c r="E8" s="92">
        <v>420.5</v>
      </c>
      <c r="F8" s="83">
        <f>D8+E8</f>
        <v>623.9</v>
      </c>
      <c r="G8" s="206" t="s">
        <v>114</v>
      </c>
      <c r="H8" s="36">
        <f>SUM(F10:F16)</f>
        <v>83.14879535</v>
      </c>
    </row>
    <row r="9" spans="1:8" s="37" customFormat="1" ht="16.5" customHeight="1">
      <c r="A9" s="33"/>
      <c r="B9" s="35" t="s">
        <v>168</v>
      </c>
      <c r="C9" s="33" t="s">
        <v>0</v>
      </c>
      <c r="D9" s="92">
        <v>49.3</v>
      </c>
      <c r="E9" s="92">
        <v>120.1</v>
      </c>
      <c r="F9" s="83">
        <f>D9+E9</f>
        <v>169.39999999999998</v>
      </c>
      <c r="G9" s="207"/>
      <c r="H9" s="36"/>
    </row>
    <row r="10" spans="1:8" s="37" customFormat="1" ht="16.5" customHeight="1">
      <c r="A10" s="33"/>
      <c r="B10" s="38" t="s">
        <v>21</v>
      </c>
      <c r="C10" s="32" t="s">
        <v>7</v>
      </c>
      <c r="D10" s="93">
        <f>357.3*0.222/1000</f>
        <v>7.9320600000000005E-2</v>
      </c>
      <c r="E10" s="93">
        <f>884.1*0.222/1000</f>
        <v>0.19627020000000001</v>
      </c>
      <c r="F10" s="84">
        <f>D10+E10</f>
        <v>0.27559080000000002</v>
      </c>
      <c r="G10" s="207"/>
      <c r="H10" s="37">
        <f>H8/(F8+F9)</f>
        <v>0.10481380984495148</v>
      </c>
    </row>
    <row r="11" spans="1:8" s="37" customFormat="1" ht="16.5" customHeight="1">
      <c r="A11" s="33"/>
      <c r="B11" s="38" t="s">
        <v>19</v>
      </c>
      <c r="C11" s="32" t="s">
        <v>7</v>
      </c>
      <c r="D11" s="84">
        <f>(2267.3+790.6+1.09*1530+10236)*0.395/1000</f>
        <v>5.9098320000000006</v>
      </c>
      <c r="E11" s="84">
        <f>(3436.5+1804.4+1.21*3015+24373.8)*0.395/1000</f>
        <v>13.138825750000001</v>
      </c>
      <c r="F11" s="84">
        <f t="shared" ref="F11:F16" si="0">D11+E11</f>
        <v>19.04865775</v>
      </c>
      <c r="G11" s="207"/>
    </row>
    <row r="12" spans="1:8" s="37" customFormat="1" ht="16.5" customHeight="1">
      <c r="A12" s="33"/>
      <c r="B12" s="38" t="s">
        <v>20</v>
      </c>
      <c r="C12" s="32" t="s">
        <v>7</v>
      </c>
      <c r="D12" s="84">
        <f>(2664.5+14900.3)*0.888/1000</f>
        <v>15.5975424</v>
      </c>
      <c r="E12" s="84">
        <f>(5668+30305.4)*0.888/1000</f>
        <v>31.944379200000004</v>
      </c>
      <c r="F12" s="84">
        <f t="shared" si="0"/>
        <v>47.541921600000002</v>
      </c>
      <c r="G12" s="207"/>
    </row>
    <row r="13" spans="1:8" s="37" customFormat="1" ht="16.5" customHeight="1">
      <c r="A13" s="33"/>
      <c r="B13" s="38" t="s">
        <v>17</v>
      </c>
      <c r="C13" s="32" t="s">
        <v>7</v>
      </c>
      <c r="D13" s="84">
        <f>1910.7*1.578/1000</f>
        <v>3.0150846000000002</v>
      </c>
      <c r="E13" s="84">
        <f>4475*1.578/1000</f>
        <v>7.0615500000000004</v>
      </c>
      <c r="F13" s="84">
        <f t="shared" si="0"/>
        <v>10.0766346</v>
      </c>
      <c r="G13" s="207"/>
    </row>
    <row r="14" spans="1:8" s="37" customFormat="1" ht="16.5" customHeight="1">
      <c r="A14" s="33"/>
      <c r="B14" s="38" t="s">
        <v>22</v>
      </c>
      <c r="C14" s="32" t="s">
        <v>7</v>
      </c>
      <c r="D14" s="39"/>
      <c r="E14" s="84">
        <f>169.4*2.466/1000</f>
        <v>0.41774040000000001</v>
      </c>
      <c r="F14" s="84">
        <f t="shared" si="0"/>
        <v>0.41774040000000001</v>
      </c>
      <c r="G14" s="207"/>
    </row>
    <row r="15" spans="1:8" s="37" customFormat="1" ht="16.5" customHeight="1">
      <c r="A15" s="33"/>
      <c r="B15" s="38" t="s">
        <v>26</v>
      </c>
      <c r="C15" s="32" t="s">
        <v>7</v>
      </c>
      <c r="D15" s="84">
        <f>641.7*3.85/1000</f>
        <v>2.470545</v>
      </c>
      <c r="E15" s="84">
        <f>695*3.85/1000</f>
        <v>2.6757499999999999</v>
      </c>
      <c r="F15" s="84">
        <f t="shared" si="0"/>
        <v>5.1462950000000003</v>
      </c>
      <c r="G15" s="207"/>
    </row>
    <row r="16" spans="1:8" s="37" customFormat="1" ht="16.5" customHeight="1">
      <c r="A16" s="33"/>
      <c r="B16" s="38" t="s">
        <v>25</v>
      </c>
      <c r="C16" s="32" t="s">
        <v>7</v>
      </c>
      <c r="D16" s="85"/>
      <c r="E16" s="84">
        <f>132.8*4.834/1000</f>
        <v>0.64195519999999995</v>
      </c>
      <c r="F16" s="84">
        <f t="shared" si="0"/>
        <v>0.64195519999999995</v>
      </c>
      <c r="G16" s="96"/>
    </row>
    <row r="17" spans="1:7" ht="15.75">
      <c r="A17" s="30">
        <v>2</v>
      </c>
      <c r="B17" s="31" t="s">
        <v>111</v>
      </c>
      <c r="C17" s="32"/>
      <c r="D17" s="32"/>
      <c r="E17" s="32"/>
      <c r="F17" s="32"/>
      <c r="G17" s="45"/>
    </row>
    <row r="18" spans="1:7">
      <c r="A18" s="32"/>
      <c r="B18" s="38" t="s">
        <v>112</v>
      </c>
      <c r="C18" s="32" t="s">
        <v>0</v>
      </c>
      <c r="D18" s="209">
        <v>9.4</v>
      </c>
      <c r="E18" s="210"/>
      <c r="F18" s="84">
        <f>D18+E18</f>
        <v>9.4</v>
      </c>
      <c r="G18" s="45"/>
    </row>
    <row r="19" spans="1:7">
      <c r="A19" s="32"/>
      <c r="B19" s="38" t="s">
        <v>102</v>
      </c>
      <c r="C19" s="32" t="s">
        <v>0</v>
      </c>
      <c r="D19" s="209">
        <v>0.8</v>
      </c>
      <c r="E19" s="210"/>
      <c r="F19" s="84">
        <f>D19+E19</f>
        <v>0.8</v>
      </c>
      <c r="G19" s="45"/>
    </row>
    <row r="22" spans="1:7" ht="27" customHeight="1">
      <c r="A22" s="203" t="s">
        <v>143</v>
      </c>
      <c r="B22" s="203"/>
      <c r="C22" s="203"/>
      <c r="D22" s="203"/>
      <c r="E22" s="203"/>
      <c r="F22" s="203"/>
      <c r="G22" s="203"/>
    </row>
    <row r="23" spans="1:7">
      <c r="G23" s="48">
        <v>46272</v>
      </c>
    </row>
  </sheetData>
  <mergeCells count="15">
    <mergeCell ref="G8:G15"/>
    <mergeCell ref="A22:G22"/>
    <mergeCell ref="D18:E18"/>
    <mergeCell ref="D19:E19"/>
    <mergeCell ref="A1:G1"/>
    <mergeCell ref="A2:G2"/>
    <mergeCell ref="A3:G3"/>
    <mergeCell ref="A4:B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ФП</vt:lpstr>
      <vt:lpstr>Стены подвала</vt:lpstr>
      <vt:lpstr>Перекрытие подвала</vt:lpstr>
      <vt:lpstr>Стены 1 этаж</vt:lpstr>
      <vt:lpstr>Перекрытие 1 этажа</vt:lpstr>
      <vt:lpstr>Стены 2 этаж</vt:lpstr>
      <vt:lpstr>Перекрытие 2 этажа</vt:lpstr>
      <vt:lpstr>Стены 3 этаж</vt:lpstr>
      <vt:lpstr>Перекрытие 3 этажа</vt:lpstr>
      <vt:lpstr>Стены выхода на кровлю</vt:lpstr>
      <vt:lpstr>Плиты выхода на кровлю</vt:lpstr>
      <vt:lpstr>Сборный ЖБ  </vt:lpstr>
      <vt:lpstr>Лестницы</vt:lpstr>
      <vt:lpstr>Лифт</vt:lpstr>
      <vt:lpstr>Лист8</vt:lpstr>
      <vt:lpstr>'Сборный ЖБ  '!Область_печати</vt:lpstr>
      <vt:lpstr>ФП!Область_печати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LahtionovDV</cp:lastModifiedBy>
  <cp:lastPrinted>2026-09-09T06:46:33Z</cp:lastPrinted>
  <dcterms:created xsi:type="dcterms:W3CDTF">2020-05-19T12:21:33Z</dcterms:created>
  <dcterms:modified xsi:type="dcterms:W3CDTF">2026-09-14T08:10:15Z</dcterms:modified>
</cp:coreProperties>
</file>